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eward\Desktop\"/>
    </mc:Choice>
  </mc:AlternateContent>
  <xr:revisionPtr revIDLastSave="0" documentId="13_ncr:1_{200DC6CA-7956-45E3-BD63-CF22F51A3CB8}" xr6:coauthVersionLast="36" xr6:coauthVersionMax="36" xr10:uidLastSave="{00000000-0000-0000-0000-000000000000}"/>
  <bookViews>
    <workbookView xWindow="0" yWindow="0" windowWidth="28800" windowHeight="12225" firstSheet="1" activeTab="1" xr2:uid="{00000000-000D-0000-FFFF-FFFF00000000}"/>
  </bookViews>
  <sheets>
    <sheet name="Date" sheetId="14" state="hidden" r:id="rId1"/>
    <sheet name="IMTFWeb" sheetId="11" r:id="rId2"/>
    <sheet name="SMAWeb" sheetId="12" state="hidden" r:id="rId3"/>
    <sheet name="DistCounties" sheetId="13" state="hidden" r:id="rId4"/>
    <sheet name="Trust Fund Monthly" sheetId="6" state="hidden" r:id="rId5"/>
    <sheet name="Safety Maint Acct Monthly" sheetId="5" state="hidden" r:id="rId6"/>
    <sheet name="Trust Fund YTD" sheetId="2" state="hidden" r:id="rId7"/>
    <sheet name="Safety Maint Acct YTD" sheetId="3" state="hidden" r:id="rId8"/>
  </sheets>
  <definedNames>
    <definedName name="_xlnm._FilterDatabase" localSheetId="3" hidden="1">DistCounties!$A$6:$G$53</definedName>
    <definedName name="_xlnm.Print_Area" localSheetId="3">DistCounties!$A$1:$G$75</definedName>
    <definedName name="_xlnm.Print_Area" localSheetId="1">IMTFWeb!$B$2:$J$39</definedName>
    <definedName name="_xlnm.Print_Area" localSheetId="2">SMAWeb!$B$2:$J$31</definedName>
  </definedNames>
  <calcPr calcId="191029" calcMode="manual"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6" i="12" l="1"/>
  <c r="D16" i="12"/>
  <c r="C45" i="5"/>
  <c r="D45" i="5"/>
  <c r="E45" i="5"/>
  <c r="F45" i="5"/>
  <c r="G45" i="5"/>
  <c r="H44" i="5"/>
  <c r="F15" i="12" s="1"/>
  <c r="C19" i="5"/>
  <c r="B19" i="5"/>
  <c r="J15" i="12" l="1"/>
  <c r="D27" i="11"/>
  <c r="C34" i="6"/>
  <c r="D34" i="6" l="1"/>
  <c r="E34" i="6"/>
  <c r="F34" i="6" s="1"/>
  <c r="G34" i="6" s="1"/>
  <c r="B4" i="2"/>
  <c r="A2" i="2"/>
  <c r="B73" i="6" l="1"/>
  <c r="H73" i="6" s="1"/>
  <c r="F25" i="11" s="1"/>
  <c r="J25" i="11" s="1"/>
  <c r="D14" i="5"/>
  <c r="E14" i="5" l="1"/>
  <c r="E19" i="5" s="1"/>
  <c r="F14" i="5"/>
  <c r="F19" i="5" s="1"/>
  <c r="G14" i="5" l="1"/>
  <c r="G19" i="5" s="1"/>
  <c r="B3" i="12"/>
  <c r="B3" i="11"/>
  <c r="B40" i="5" l="1"/>
  <c r="B45" i="5" s="1"/>
  <c r="B19" i="6"/>
  <c r="C19" i="6" l="1"/>
  <c r="D10" i="5"/>
  <c r="D19" i="5" s="1"/>
  <c r="D24" i="6"/>
  <c r="D15" i="6"/>
  <c r="D14" i="6"/>
  <c r="D12" i="6"/>
  <c r="D11" i="6"/>
  <c r="D19" i="6" l="1"/>
  <c r="E12" i="6"/>
  <c r="E14" i="6"/>
  <c r="F14" i="6" s="1"/>
  <c r="G14" i="6" s="1"/>
  <c r="E15" i="6"/>
  <c r="E11" i="6"/>
  <c r="E24" i="6"/>
  <c r="F24" i="6" s="1"/>
  <c r="C28" i="6"/>
  <c r="C20" i="6"/>
  <c r="B63" i="6" l="1"/>
  <c r="B53" i="6"/>
  <c r="F11" i="6"/>
  <c r="F15" i="6"/>
  <c r="G15" i="6" s="1"/>
  <c r="G24" i="6"/>
  <c r="F12" i="6"/>
  <c r="G12" i="6" s="1"/>
  <c r="E19" i="6"/>
  <c r="F19" i="6" s="1"/>
  <c r="G19" i="6" s="1"/>
  <c r="D20" i="6"/>
  <c r="E20" i="6" s="1"/>
  <c r="D28" i="6"/>
  <c r="E28" i="6" s="1"/>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C53" i="13"/>
  <c r="C78" i="13" s="1"/>
  <c r="E53" i="13"/>
  <c r="E78" i="13" s="1"/>
  <c r="H21" i="12"/>
  <c r="F9" i="12" s="1"/>
  <c r="J20" i="12"/>
  <c r="D7" i="11"/>
  <c r="D7" i="12" s="1"/>
  <c r="F7" i="12"/>
  <c r="D21" i="11"/>
  <c r="H21" i="11"/>
  <c r="H27" i="11"/>
  <c r="F28" i="6" l="1"/>
  <c r="G28" i="6" s="1"/>
  <c r="B59" i="6"/>
  <c r="B58" i="6"/>
  <c r="G11" i="6"/>
  <c r="B50" i="6" s="1"/>
  <c r="B51" i="6"/>
  <c r="B54" i="6"/>
  <c r="G36" i="6"/>
  <c r="F20" i="6"/>
  <c r="G20" i="6" s="1"/>
  <c r="H29" i="11"/>
  <c r="F9" i="11" s="1"/>
  <c r="G53" i="13"/>
  <c r="B4" i="3"/>
  <c r="H31" i="5"/>
  <c r="B67" i="6" l="1"/>
  <c r="H74" i="6"/>
  <c r="F26" i="11" s="1"/>
  <c r="A2" i="3"/>
  <c r="H54" i="6" l="1"/>
  <c r="H53" i="6"/>
  <c r="F18" i="11" s="1"/>
  <c r="J18" i="11" s="1"/>
  <c r="H51" i="6"/>
  <c r="B14" i="2" l="1"/>
  <c r="F15" i="11"/>
  <c r="J15" i="11" s="1"/>
  <c r="G75" i="6"/>
  <c r="F75" i="6"/>
  <c r="E75" i="6"/>
  <c r="D75" i="6"/>
  <c r="C75" i="6"/>
  <c r="B75" i="6"/>
  <c r="J26" i="11"/>
  <c r="H72" i="6"/>
  <c r="F36" i="6"/>
  <c r="E36" i="6"/>
  <c r="D36" i="6"/>
  <c r="C36" i="6"/>
  <c r="B36" i="6"/>
  <c r="F24" i="11" l="1"/>
  <c r="J24" i="11" s="1"/>
  <c r="J27" i="11" s="1"/>
  <c r="H75" i="6"/>
  <c r="B6" i="3"/>
  <c r="H63" i="6"/>
  <c r="D30" i="6"/>
  <c r="F27" i="11" l="1"/>
  <c r="H50" i="6"/>
  <c r="F13" i="11" s="1"/>
  <c r="H59" i="6"/>
  <c r="F16" i="11" s="1"/>
  <c r="J16" i="11" s="1"/>
  <c r="J13" i="11" l="1"/>
  <c r="B20" i="2"/>
  <c r="G69" i="6"/>
  <c r="F69" i="6"/>
  <c r="E69" i="6"/>
  <c r="D69" i="6"/>
  <c r="C69" i="6"/>
  <c r="H67" i="6"/>
  <c r="B13" i="2"/>
  <c r="B10" i="2"/>
  <c r="H44" i="6"/>
  <c r="B6" i="2" s="1"/>
  <c r="E30" i="6"/>
  <c r="C30" i="6"/>
  <c r="B30" i="6"/>
  <c r="B38" i="6" s="1"/>
  <c r="G30" i="6"/>
  <c r="B11" i="2"/>
  <c r="B17" i="2" l="1"/>
  <c r="F20" i="11"/>
  <c r="J20" i="11" s="1"/>
  <c r="H58" i="6"/>
  <c r="F14" i="11" s="1"/>
  <c r="C5" i="6"/>
  <c r="C38" i="6" s="1"/>
  <c r="D5" i="6" s="1"/>
  <c r="D38" i="6" s="1"/>
  <c r="E5" i="6" s="1"/>
  <c r="E38" i="6" s="1"/>
  <c r="B69" i="6"/>
  <c r="F30" i="6"/>
  <c r="H49" i="5"/>
  <c r="B14" i="3" s="1"/>
  <c r="C31" i="5"/>
  <c r="H40" i="5"/>
  <c r="H36" i="5"/>
  <c r="B25" i="5"/>
  <c r="F12" i="12" l="1"/>
  <c r="H45" i="5"/>
  <c r="J14" i="11"/>
  <c r="J21" i="11" s="1"/>
  <c r="J29" i="11" s="1"/>
  <c r="F21" i="11"/>
  <c r="F29" i="11" s="1"/>
  <c r="D9" i="11" s="1"/>
  <c r="D29" i="11" s="1"/>
  <c r="J12" i="12"/>
  <c r="B11" i="3"/>
  <c r="F14" i="12"/>
  <c r="J14" i="12" s="1"/>
  <c r="C5" i="5"/>
  <c r="C25" i="5" s="1"/>
  <c r="D5" i="5" s="1"/>
  <c r="D25" i="5" s="1"/>
  <c r="E5" i="5" s="1"/>
  <c r="E25" i="5" s="1"/>
  <c r="F5" i="5" s="1"/>
  <c r="F25" i="5" s="1"/>
  <c r="G5" i="5" s="1"/>
  <c r="G25" i="5" s="1"/>
  <c r="H69" i="6"/>
  <c r="H77" i="6" s="1"/>
  <c r="B15" i="2"/>
  <c r="H51" i="5"/>
  <c r="F5" i="6"/>
  <c r="F38" i="6" s="1"/>
  <c r="G5" i="6" s="1"/>
  <c r="G38" i="6" s="1"/>
  <c r="B44" i="6" s="1"/>
  <c r="B9" i="3"/>
  <c r="F16" i="12" l="1"/>
  <c r="F21" i="12" s="1"/>
  <c r="D9" i="12" s="1"/>
  <c r="D21" i="12" s="1"/>
  <c r="J16" i="12"/>
  <c r="J21" i="12" s="1"/>
  <c r="J34" i="12" s="1"/>
  <c r="B31" i="5"/>
  <c r="B51" i="5" s="1"/>
  <c r="C51" i="5" s="1"/>
  <c r="D31" i="5" s="1"/>
  <c r="D51" i="5" s="1"/>
  <c r="E31" i="5" s="1"/>
  <c r="E51" i="5" s="1"/>
  <c r="F31" i="5" s="1"/>
  <c r="F51" i="5" s="1"/>
  <c r="G31" i="5" s="1"/>
  <c r="G51" i="5" s="1"/>
  <c r="J38" i="11"/>
  <c r="B12" i="3"/>
  <c r="B16" i="3" s="1"/>
  <c r="B20" i="3" s="1"/>
  <c r="B77" i="6"/>
  <c r="C44" i="6" s="1"/>
  <c r="C77" i="6" s="1"/>
  <c r="D44" i="6" s="1"/>
  <c r="D77" i="6" s="1"/>
  <c r="E44" i="6" s="1"/>
  <c r="E77" i="6" s="1"/>
  <c r="F44" i="6" s="1"/>
  <c r="F77" i="6" s="1"/>
  <c r="G44" i="6" s="1"/>
  <c r="G77" i="6" s="1"/>
  <c r="H18" i="2" l="1"/>
  <c r="H6" i="2" l="1"/>
  <c r="H22" i="2" s="1"/>
  <c r="I18" i="2"/>
  <c r="I6" i="2" l="1"/>
  <c r="I22" i="2" s="1"/>
  <c r="J18" i="2"/>
  <c r="J6" i="2" l="1"/>
  <c r="J22" i="2" s="1"/>
  <c r="K18" i="2"/>
  <c r="K6" i="2" l="1"/>
  <c r="K22" i="2" s="1"/>
  <c r="L18" i="2" l="1"/>
  <c r="L6" i="2" l="1"/>
  <c r="L22" i="2" s="1"/>
  <c r="B18" i="2"/>
  <c r="B22" i="2" s="1"/>
  <c r="B26" i="2" s="1"/>
</calcChain>
</file>

<file path=xl/sharedStrings.xml><?xml version="1.0" encoding="utf-8"?>
<sst xmlns="http://schemas.openxmlformats.org/spreadsheetml/2006/main" count="243" uniqueCount="122">
  <si>
    <t>Receipts</t>
  </si>
  <si>
    <t>Disbursements</t>
  </si>
  <si>
    <t>Ending Balance</t>
  </si>
  <si>
    <t>Beginning Balance</t>
  </si>
  <si>
    <t>Infrastructure</t>
  </si>
  <si>
    <t>maintenance fee</t>
  </si>
  <si>
    <t>Safety Maintenance Account (Unaudited)</t>
  </si>
  <si>
    <t>Out of state registration</t>
  </si>
  <si>
    <t>DMV</t>
  </si>
  <si>
    <t>STO</t>
  </si>
  <si>
    <t>DOR</t>
  </si>
  <si>
    <t>Infrastructure Maintenance Trust Fund (Unaudited)</t>
  </si>
  <si>
    <t>Year-to-Date</t>
  </si>
  <si>
    <t>Road use fee on</t>
  </si>
  <si>
    <t>alternative fuel vehicles</t>
  </si>
  <si>
    <t>Fuel tax (2 cents/gallon in first year)</t>
  </si>
  <si>
    <t>Investment earnings on</t>
  </si>
  <si>
    <t>trust fund balances</t>
  </si>
  <si>
    <t>Total Receipts</t>
  </si>
  <si>
    <t>Collected By</t>
  </si>
  <si>
    <t>State Treasurer</t>
  </si>
  <si>
    <t>Continued</t>
  </si>
  <si>
    <t>Safety Maintenance Account</t>
  </si>
  <si>
    <t>Sales and use tax</t>
  </si>
  <si>
    <t>of Motor Vehicles</t>
  </si>
  <si>
    <t>Collected by Department</t>
  </si>
  <si>
    <t>of Revenue</t>
  </si>
  <si>
    <t>Out of state registrations</t>
  </si>
  <si>
    <t>Investment earnings on Safety</t>
  </si>
  <si>
    <t>Maintenance Account balances</t>
  </si>
  <si>
    <t>of Natural Resources</t>
  </si>
  <si>
    <t>DOR/DMV/DNR</t>
  </si>
  <si>
    <t>Project Disbursements</t>
  </si>
  <si>
    <t>Total Disbursements</t>
  </si>
  <si>
    <t>County C-Fund Distributions</t>
  </si>
  <si>
    <t>Fuel tax (2 cent increase per year)</t>
  </si>
  <si>
    <t>Registration fee increase ($16)</t>
  </si>
  <si>
    <t>Fiscal Year 2018-19</t>
  </si>
  <si>
    <t>Ending balance</t>
  </si>
  <si>
    <t>Beginning balance</t>
  </si>
  <si>
    <t>for Fiscal Year</t>
  </si>
  <si>
    <t>Since Act 40</t>
  </si>
  <si>
    <t>Total</t>
  </si>
  <si>
    <t>Fiscal Year</t>
  </si>
  <si>
    <t>Month</t>
  </si>
  <si>
    <t>All Activity</t>
  </si>
  <si>
    <t>Fiscal Year 2017-18</t>
  </si>
  <si>
    <t>Infrastructure Maintenance Trust Fund</t>
  </si>
  <si>
    <t>Date</t>
  </si>
  <si>
    <t>York</t>
  </si>
  <si>
    <t>Williamsburg</t>
  </si>
  <si>
    <t>Union</t>
  </si>
  <si>
    <t>Sumter</t>
  </si>
  <si>
    <t>Spartanburg</t>
  </si>
  <si>
    <t>Saluda</t>
  </si>
  <si>
    <t>Richland</t>
  </si>
  <si>
    <t>Pickens</t>
  </si>
  <si>
    <t>Orangeburg</t>
  </si>
  <si>
    <t>Oconee</t>
  </si>
  <si>
    <t>Newberry</t>
  </si>
  <si>
    <t>Marlboro</t>
  </si>
  <si>
    <t>Marion</t>
  </si>
  <si>
    <t>McCormick</t>
  </si>
  <si>
    <t>Lexington</t>
  </si>
  <si>
    <t>Lee</t>
  </si>
  <si>
    <t>Laurens</t>
  </si>
  <si>
    <t>Lancaster</t>
  </si>
  <si>
    <t>Kershaw</t>
  </si>
  <si>
    <t>Jasper</t>
  </si>
  <si>
    <t>Horry</t>
  </si>
  <si>
    <t>Hampton</t>
  </si>
  <si>
    <t>Greenwood</t>
  </si>
  <si>
    <t>Greenville</t>
  </si>
  <si>
    <t>Georgetown</t>
  </si>
  <si>
    <t>Florence</t>
  </si>
  <si>
    <t>Fairfield</t>
  </si>
  <si>
    <t>Edgefield</t>
  </si>
  <si>
    <t>Dorchester</t>
  </si>
  <si>
    <t>Dillon</t>
  </si>
  <si>
    <t>Darlington</t>
  </si>
  <si>
    <t>Colleton</t>
  </si>
  <si>
    <t>Clarendon</t>
  </si>
  <si>
    <t>Chesterfield</t>
  </si>
  <si>
    <t>Chester</t>
  </si>
  <si>
    <t>Cherokee</t>
  </si>
  <si>
    <t>Charleston</t>
  </si>
  <si>
    <t>Calhoun</t>
  </si>
  <si>
    <t>Berkeley</t>
  </si>
  <si>
    <t>Beaufort</t>
  </si>
  <si>
    <t>Barnwell</t>
  </si>
  <si>
    <t>Bamberg</t>
  </si>
  <si>
    <t>Anderson</t>
  </si>
  <si>
    <t>Allendale</t>
  </si>
  <si>
    <t>Aiken</t>
  </si>
  <si>
    <t>Abbeville</t>
  </si>
  <si>
    <t>FY 2017-18</t>
  </si>
  <si>
    <t>FY 2018-19</t>
  </si>
  <si>
    <t>County</t>
  </si>
  <si>
    <t>Source: SCDOT</t>
  </si>
  <si>
    <t>Distributions to donor counties</t>
  </si>
  <si>
    <t>Road and bridge projects</t>
  </si>
  <si>
    <t>Year to Date</t>
  </si>
  <si>
    <t>Distribution to Donor Counties*</t>
  </si>
  <si>
    <t>Inception</t>
  </si>
  <si>
    <t>Fuel tax</t>
  </si>
  <si>
    <t>IMTF balances</t>
  </si>
  <si>
    <t>Total disbursements</t>
  </si>
  <si>
    <t>Total receipts</t>
  </si>
  <si>
    <t>Registration fee</t>
  </si>
  <si>
    <t>Total distributions</t>
  </si>
  <si>
    <t>*</t>
  </si>
  <si>
    <t>Safety Maintentance Shortfall</t>
  </si>
  <si>
    <t>IMTF</t>
  </si>
  <si>
    <t>Transfer to cover Preventative</t>
  </si>
  <si>
    <t>Maintenance Credit Shortfall</t>
  </si>
  <si>
    <t>Transfer to Department of Revenue</t>
  </si>
  <si>
    <t>to fund estimated Tax Credit</t>
  </si>
  <si>
    <t>to fund estimated tax credit</t>
  </si>
  <si>
    <t>IMTF transfer to cover shortfall</t>
  </si>
  <si>
    <r>
      <t>Inception</t>
    </r>
    <r>
      <rPr>
        <b/>
        <vertAlign val="superscript"/>
        <sz val="11"/>
        <color theme="1"/>
        <rFont val="Calibri"/>
        <family val="2"/>
        <scheme val="minor"/>
      </rPr>
      <t>1</t>
    </r>
  </si>
  <si>
    <r>
      <t>Safety Maintenance</t>
    </r>
    <r>
      <rPr>
        <sz val="11"/>
        <color theme="1"/>
        <rFont val="Calibri"/>
        <family val="2"/>
        <scheme val="minor"/>
      </rPr>
      <t xml:space="preserve"> shortfall</t>
    </r>
  </si>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</sst>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
    <numFmt numFmtId="165" formatCode="mmm"/>
    <numFmt numFmtId="166" formatCode="#,##0_);\(#,##0\);\—\ \ \ \ "/>
    <numFmt numFmtId="167" formatCode="&quot;$&quot;#,##0_);&quot;$&quot;\(#,##0\);&quot;$&quot;\ \ \ \ \ \ \ \—\ \ \ \ "/>
    <numFmt numFmtId="168" formatCode="&quot;$&quot;#,##0_);&quot;$&quot;\(#,##0\);"/>
    <numFmt numFmtId="169" formatCode="&quot;$&quot;* #,##0_);&quot;$&quot;* \(#,##0\);&quot;$&quot;* \—\ \ \ \ "/>
    <numFmt numFmtId="170" formatCode="#,##0_);\(#,##0\);\—\ \ \ "/>
    <numFmt numFmtId="171" formatCode="#,##0_);\(#,##0\);"/>
  </numFmts>
  <fonts count="18" x14ac:knownFonts="1">
    <font>
      <sz val="11"/>
      <color theme="1"/>
      <name val="Calibri"/>
      <family val="2"/>
      <scheme val="minor"/>
    </font>
    <font>
      <b/>
      <i/>
      <sz val="10.75"/>
      <color theme="1"/>
      <name val="Calibri"/>
      <family val="2"/>
      <scheme val="minor"/>
    </font>
    <font>
      <b/>
      <sz val="10.75"/>
      <color theme="1"/>
      <name val="Calibri"/>
      <family val="2"/>
      <scheme val="minor"/>
    </font>
    <font>
      <sz val="10.75"/>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u/>
      <sz val="12"/>
      <color theme="1"/>
      <name val="Calibri"/>
      <family val="2"/>
      <scheme val="minor"/>
    </font>
    <font>
      <sz val="8"/>
      <color theme="1"/>
      <name val="Calibri"/>
      <family val="2"/>
      <scheme val="minor"/>
    </font>
    <font>
      <b/>
      <u/>
      <sz val="10.75"/>
      <color theme="1"/>
      <name val="Calibri"/>
      <family val="2"/>
      <scheme val="minor"/>
    </font>
    <font>
      <sz val="9"/>
      <color theme="1"/>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b/>
      <sz val="18"/>
      <color theme="1"/>
      <name val="Calibri"/>
      <family val="2"/>
      <scheme val="minor"/>
    </font>
    <font>
      <sz val="11"/>
      <color theme="1"/>
      <name val="Calibri"/>
      <family val="2"/>
      <scheme val="minor"/>
    </font>
    <font>
      <b/>
      <vertAlign val="superscript"/>
      <sz val="11"/>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s>
  <cellStyleXfs count="3">
    <xf numFmtId="0" fontId="0" fillId="0" borderId="0"/>
    <xf numFmtId="43" fontId="15" fillId="0" borderId="0" applyFont="0" applyFill="0" applyBorder="0" applyAlignment="0" applyProtection="0"/>
    <xf numFmtId="0" fontId="17" fillId="0" borderId="0" applyNumberFormat="0" applyFill="0" applyBorder="0" applyAlignment="0" applyProtection="0"/>
  </cellStyleXfs>
  <cellXfs count="113">
    <xf numFmtId="0" fontId="0" fillId="0" borderId="0" xfId="0"/>
    <xf numFmtId="0" fontId="1" fillId="0" borderId="0" xfId="0" applyFont="1"/>
    <xf numFmtId="0" fontId="3" fillId="0" borderId="0" xfId="0" applyFont="1"/>
    <xf numFmtId="164" fontId="3" fillId="0" borderId="0" xfId="0" applyNumberFormat="1" applyFont="1" applyFill="1" applyAlignment="1">
      <alignment horizontal="left" indent="1"/>
    </xf>
    <xf numFmtId="0" fontId="2" fillId="0" borderId="0" xfId="0" applyFont="1"/>
    <xf numFmtId="0" fontId="5" fillId="0" borderId="0" xfId="0" applyFont="1"/>
    <xf numFmtId="0" fontId="6" fillId="0" borderId="0" xfId="0" applyFont="1"/>
    <xf numFmtId="0" fontId="3" fillId="0" borderId="0" xfId="0" applyNumberFormat="1" applyFont="1" applyFill="1" applyAlignment="1">
      <alignment horizontal="left"/>
    </xf>
    <xf numFmtId="164" fontId="2" fillId="0" borderId="0" xfId="0" applyNumberFormat="1" applyFont="1"/>
    <xf numFmtId="164" fontId="3" fillId="0" borderId="0" xfId="0" applyNumberFormat="1" applyFont="1" applyFill="1" applyAlignment="1">
      <alignment horizontal="left"/>
    </xf>
    <xf numFmtId="166" fontId="6" fillId="0" borderId="0" xfId="0" applyNumberFormat="1" applyFont="1"/>
    <xf numFmtId="166" fontId="6" fillId="0" borderId="0" xfId="0" applyNumberFormat="1" applyFont="1" applyBorder="1"/>
    <xf numFmtId="167" fontId="6" fillId="0" borderId="0" xfId="0" applyNumberFormat="1" applyFont="1"/>
    <xf numFmtId="167" fontId="6" fillId="0" borderId="2" xfId="0" applyNumberFormat="1" applyFont="1" applyBorder="1"/>
    <xf numFmtId="167" fontId="4" fillId="4" borderId="3" xfId="0" applyNumberFormat="1" applyFont="1" applyFill="1" applyBorder="1"/>
    <xf numFmtId="167" fontId="4" fillId="2" borderId="3" xfId="0" applyNumberFormat="1" applyFont="1" applyFill="1" applyBorder="1"/>
    <xf numFmtId="166" fontId="4" fillId="2" borderId="0" xfId="0" applyNumberFormat="1" applyFont="1" applyFill="1"/>
    <xf numFmtId="0" fontId="3" fillId="0" borderId="0" xfId="0" applyFont="1" applyFill="1"/>
    <xf numFmtId="165" fontId="7" fillId="3" borderId="2" xfId="0" applyNumberFormat="1" applyFont="1" applyFill="1" applyBorder="1" applyAlignment="1">
      <alignment horizontal="center"/>
    </xf>
    <xf numFmtId="0" fontId="8" fillId="0" borderId="0" xfId="0" applyFont="1"/>
    <xf numFmtId="166" fontId="4" fillId="0" borderId="0" xfId="0" applyNumberFormat="1" applyFont="1"/>
    <xf numFmtId="0" fontId="10" fillId="0" borderId="0" xfId="0" applyFont="1"/>
    <xf numFmtId="168" fontId="3" fillId="0" borderId="0" xfId="0" applyNumberFormat="1" applyFont="1"/>
    <xf numFmtId="0" fontId="7" fillId="3" borderId="2" xfId="0" applyFont="1" applyFill="1" applyBorder="1" applyAlignment="1">
      <alignment horizontal="center"/>
    </xf>
    <xf numFmtId="169" fontId="4" fillId="2" borderId="0" xfId="0" applyNumberFormat="1" applyFont="1" applyFill="1"/>
    <xf numFmtId="169" fontId="4" fillId="2" borderId="3" xfId="0" applyNumberFormat="1" applyFont="1" applyFill="1" applyBorder="1"/>
    <xf numFmtId="166" fontId="4" fillId="2" borderId="4" xfId="0" applyNumberFormat="1" applyFont="1" applyFill="1" applyBorder="1"/>
    <xf numFmtId="0" fontId="11" fillId="2" borderId="0" xfId="0" applyFont="1" applyFill="1" applyAlignment="1">
      <alignment horizontal="center"/>
    </xf>
    <xf numFmtId="169" fontId="6" fillId="0" borderId="0" xfId="0" applyNumberFormat="1" applyFont="1"/>
    <xf numFmtId="166" fontId="6" fillId="0" borderId="0" xfId="0" applyNumberFormat="1" applyFont="1" applyFill="1"/>
    <xf numFmtId="166" fontId="6" fillId="0" borderId="4" xfId="0" applyNumberFormat="1" applyFont="1" applyBorder="1"/>
    <xf numFmtId="0" fontId="9" fillId="0" borderId="0" xfId="0" applyFont="1" applyAlignment="1"/>
    <xf numFmtId="164" fontId="3" fillId="0" borderId="0" xfId="0" applyNumberFormat="1" applyFont="1" applyFill="1" applyAlignment="1">
      <alignment horizontal="left" indent="2"/>
    </xf>
    <xf numFmtId="0" fontId="4" fillId="5" borderId="1" xfId="0" applyFont="1" applyFill="1" applyBorder="1" applyAlignment="1">
      <alignment horizontal="center"/>
    </xf>
    <xf numFmtId="0" fontId="12" fillId="6" borderId="5" xfId="0" applyFont="1" applyFill="1" applyBorder="1" applyAlignment="1">
      <alignment horizontal="center"/>
    </xf>
    <xf numFmtId="0" fontId="9" fillId="0" borderId="0" xfId="0" applyFont="1"/>
    <xf numFmtId="169" fontId="4" fillId="4" borderId="3" xfId="0" applyNumberFormat="1" applyFont="1" applyFill="1" applyBorder="1"/>
    <xf numFmtId="167" fontId="4" fillId="0" borderId="0" xfId="0" applyNumberFormat="1" applyFont="1" applyFill="1" applyBorder="1"/>
    <xf numFmtId="0" fontId="9" fillId="0" borderId="0" xfId="0" applyFont="1" applyAlignment="1">
      <alignment horizontal="left" indent="1"/>
    </xf>
    <xf numFmtId="0" fontId="0" fillId="0" borderId="0" xfId="0" applyFill="1"/>
    <xf numFmtId="166" fontId="0" fillId="0" borderId="0" xfId="0" applyNumberFormat="1"/>
    <xf numFmtId="49" fontId="5" fillId="0" borderId="0" xfId="0" applyNumberFormat="1" applyFont="1" applyAlignment="1">
      <alignment horizontal="left" indent="1"/>
    </xf>
    <xf numFmtId="49" fontId="5" fillId="0" borderId="0" xfId="0" applyNumberFormat="1" applyFont="1" applyAlignment="1">
      <alignment horizontal="left" indent="2"/>
    </xf>
    <xf numFmtId="164" fontId="3" fillId="0" borderId="0" xfId="0" applyNumberFormat="1" applyFont="1"/>
    <xf numFmtId="166" fontId="6" fillId="0" borderId="2" xfId="0" applyNumberFormat="1" applyFont="1" applyBorder="1"/>
    <xf numFmtId="166" fontId="4" fillId="2" borderId="2" xfId="0" applyNumberFormat="1" applyFont="1" applyFill="1" applyBorder="1"/>
    <xf numFmtId="164" fontId="2" fillId="0" borderId="0" xfId="0" applyNumberFormat="1" applyFont="1" applyFill="1" applyAlignment="1">
      <alignment horizontal="left" indent="2"/>
    </xf>
    <xf numFmtId="166" fontId="4" fillId="0" borderId="4" xfId="0" applyNumberFormat="1" applyFont="1" applyFill="1" applyBorder="1"/>
    <xf numFmtId="0" fontId="11" fillId="0" borderId="0" xfId="0" applyFont="1"/>
    <xf numFmtId="0" fontId="0" fillId="0" borderId="0" xfId="0" applyFont="1"/>
    <xf numFmtId="170" fontId="0" fillId="0" borderId="0" xfId="0" applyNumberFormat="1" applyFont="1"/>
    <xf numFmtId="169" fontId="0" fillId="0" borderId="3" xfId="0" applyNumberFormat="1" applyFont="1" applyBorder="1" applyAlignment="1"/>
    <xf numFmtId="169" fontId="0" fillId="0" borderId="0" xfId="0" applyNumberFormat="1" applyFont="1" applyAlignment="1"/>
    <xf numFmtId="37" fontId="0" fillId="0" borderId="0" xfId="0" applyNumberFormat="1" applyFont="1"/>
    <xf numFmtId="170" fontId="0" fillId="0" borderId="0" xfId="0" applyNumberFormat="1" applyFont="1" applyAlignment="1"/>
    <xf numFmtId="170" fontId="0" fillId="0" borderId="4" xfId="0" applyNumberFormat="1" applyFont="1" applyBorder="1" applyAlignment="1"/>
    <xf numFmtId="0" fontId="13" fillId="0" borderId="0" xfId="0" applyFont="1"/>
    <xf numFmtId="170" fontId="0" fillId="0" borderId="2" xfId="0" applyNumberFormat="1" applyFont="1" applyBorder="1" applyAlignment="1"/>
    <xf numFmtId="164" fontId="0" fillId="0" borderId="0" xfId="0" applyNumberFormat="1" applyFont="1" applyFill="1" applyAlignment="1">
      <alignment horizontal="left" indent="2"/>
    </xf>
    <xf numFmtId="164" fontId="0" fillId="0" borderId="0" xfId="0" applyNumberFormat="1" applyFont="1" applyFill="1" applyAlignment="1">
      <alignment horizontal="left" indent="1"/>
    </xf>
    <xf numFmtId="0" fontId="0" fillId="0" borderId="0" xfId="0" applyNumberFormat="1" applyFont="1" applyFill="1" applyAlignment="1">
      <alignment horizontal="left"/>
    </xf>
    <xf numFmtId="164" fontId="0" fillId="0" borderId="0" xfId="0" applyNumberFormat="1" applyFont="1" applyFill="1" applyAlignment="1">
      <alignment horizontal="left"/>
    </xf>
    <xf numFmtId="170" fontId="0" fillId="0" borderId="0" xfId="0" applyNumberFormat="1" applyFont="1" applyBorder="1" applyAlignment="1"/>
    <xf numFmtId="169" fontId="0" fillId="0" borderId="0" xfId="0" applyNumberFormat="1" applyFont="1"/>
    <xf numFmtId="0" fontId="0" fillId="0" borderId="0" xfId="0" applyFont="1" applyBorder="1" applyAlignment="1">
      <alignment horizontal="center"/>
    </xf>
    <xf numFmtId="0" fontId="0" fillId="0" borderId="0" xfId="0" applyFont="1" applyAlignment="1">
      <alignment horizontal="center"/>
    </xf>
    <xf numFmtId="0" fontId="13" fillId="0" borderId="0" xfId="0" applyFont="1" applyAlignment="1">
      <alignment horizontal="center"/>
    </xf>
    <xf numFmtId="0" fontId="13" fillId="0" borderId="0" xfId="0" applyFont="1" applyBorder="1" applyAlignment="1">
      <alignment horizontal="center"/>
    </xf>
    <xf numFmtId="14" fontId="5" fillId="7" borderId="0" xfId="0" applyNumberFormat="1" applyFont="1" applyFill="1"/>
    <xf numFmtId="0" fontId="5" fillId="7" borderId="0" xfId="0" applyFont="1" applyFill="1"/>
    <xf numFmtId="169" fontId="0" fillId="0" borderId="3" xfId="0" applyNumberFormat="1" applyBorder="1"/>
    <xf numFmtId="169" fontId="0" fillId="0" borderId="0" xfId="0" applyNumberFormat="1"/>
    <xf numFmtId="166" fontId="11" fillId="0" borderId="0" xfId="0" applyNumberFormat="1" applyFont="1" applyAlignment="1">
      <alignment horizontal="right"/>
    </xf>
    <xf numFmtId="164" fontId="11" fillId="0" borderId="0" xfId="0" applyNumberFormat="1" applyFont="1" applyFill="1" applyAlignment="1">
      <alignment horizontal="left"/>
    </xf>
    <xf numFmtId="0" fontId="11" fillId="0" borderId="0" xfId="0" applyFont="1" applyAlignment="1">
      <alignment horizontal="center"/>
    </xf>
    <xf numFmtId="0" fontId="11" fillId="0" borderId="1" xfId="0" applyFont="1" applyBorder="1" applyAlignment="1">
      <alignment horizontal="center"/>
    </xf>
    <xf numFmtId="164" fontId="0" fillId="0" borderId="0" xfId="0" applyNumberFormat="1"/>
    <xf numFmtId="0" fontId="11" fillId="0" borderId="6" xfId="0" applyFont="1" applyBorder="1" applyAlignment="1">
      <alignment horizontal="center"/>
    </xf>
    <xf numFmtId="0" fontId="11" fillId="8" borderId="0" xfId="0" applyFont="1" applyFill="1" applyAlignment="1">
      <alignment horizontal="center"/>
    </xf>
    <xf numFmtId="0" fontId="11" fillId="8" borderId="6" xfId="0" applyFont="1" applyFill="1" applyBorder="1" applyAlignment="1">
      <alignment horizontal="center"/>
    </xf>
    <xf numFmtId="166" fontId="0" fillId="8" borderId="0" xfId="0" applyNumberFormat="1" applyFill="1"/>
    <xf numFmtId="0" fontId="0" fillId="8" borderId="0" xfId="0" applyFont="1" applyFill="1"/>
    <xf numFmtId="0" fontId="11" fillId="8" borderId="1" xfId="0" applyFont="1" applyFill="1" applyBorder="1" applyAlignment="1">
      <alignment horizontal="center"/>
    </xf>
    <xf numFmtId="0" fontId="0" fillId="8" borderId="0" xfId="0" applyFont="1" applyFill="1" applyBorder="1" applyAlignment="1">
      <alignment horizontal="center"/>
    </xf>
    <xf numFmtId="169" fontId="0" fillId="8" borderId="0" xfId="0" applyNumberFormat="1" applyFont="1" applyFill="1"/>
    <xf numFmtId="170" fontId="0" fillId="8" borderId="0" xfId="0" applyNumberFormat="1" applyFont="1" applyFill="1" applyBorder="1" applyAlignment="1"/>
    <xf numFmtId="170" fontId="0" fillId="8" borderId="0" xfId="0" applyNumberFormat="1" applyFont="1" applyFill="1" applyAlignment="1"/>
    <xf numFmtId="170" fontId="0" fillId="8" borderId="2" xfId="0" applyNumberFormat="1" applyFont="1" applyFill="1" applyBorder="1" applyAlignment="1"/>
    <xf numFmtId="170" fontId="0" fillId="8" borderId="4" xfId="0" applyNumberFormat="1" applyFont="1" applyFill="1" applyBorder="1" applyAlignment="1"/>
    <xf numFmtId="169" fontId="0" fillId="8" borderId="3" xfId="0" applyNumberFormat="1" applyFont="1" applyFill="1" applyBorder="1" applyAlignment="1"/>
    <xf numFmtId="170" fontId="0" fillId="8" borderId="0" xfId="0" applyNumberFormat="1" applyFont="1" applyFill="1"/>
    <xf numFmtId="0" fontId="5" fillId="8" borderId="0" xfId="0" applyFont="1" applyFill="1" applyBorder="1" applyAlignment="1">
      <alignment horizontal="center"/>
    </xf>
    <xf numFmtId="0" fontId="5" fillId="0" borderId="0" xfId="0" applyFont="1" applyFill="1" applyBorder="1" applyAlignment="1">
      <alignment horizontal="center"/>
    </xf>
    <xf numFmtId="169" fontId="11" fillId="8" borderId="0" xfId="0" applyNumberFormat="1" applyFont="1" applyFill="1"/>
    <xf numFmtId="166" fontId="11" fillId="8" borderId="0" xfId="0" applyNumberFormat="1" applyFont="1" applyFill="1"/>
    <xf numFmtId="169" fontId="11" fillId="8" borderId="3" xfId="0" applyNumberFormat="1" applyFont="1" applyFill="1" applyBorder="1"/>
    <xf numFmtId="171" fontId="11" fillId="0" borderId="0" xfId="0" applyNumberFormat="1" applyFont="1" applyFill="1"/>
    <xf numFmtId="0" fontId="11" fillId="0" borderId="0" xfId="0" applyFont="1" applyAlignment="1">
      <alignment horizontal="left"/>
    </xf>
    <xf numFmtId="14" fontId="3" fillId="0" borderId="0" xfId="0" applyNumberFormat="1" applyFont="1"/>
    <xf numFmtId="1" fontId="3" fillId="0" borderId="0" xfId="1" applyNumberFormat="1" applyFont="1"/>
    <xf numFmtId="0" fontId="16" fillId="0" borderId="0" xfId="0" applyNumberFormat="1" applyFont="1" applyFill="1" applyAlignment="1">
      <alignment horizontal="left"/>
    </xf>
    <xf numFmtId="0" fontId="16" fillId="0" borderId="0" xfId="0" applyNumberFormat="1" applyFont="1" applyFill="1" applyAlignment="1">
      <alignment horizontal="left" indent="1"/>
    </xf>
    <xf numFmtId="0" fontId="14" fillId="8" borderId="4" xfId="0" applyFont="1" applyFill="1" applyBorder="1" applyAlignment="1">
      <alignment horizontal="center"/>
    </xf>
    <xf numFmtId="0" fontId="11" fillId="0" borderId="1" xfId="0" applyFont="1" applyBorder="1" applyAlignment="1">
      <alignment horizontal="center"/>
    </xf>
    <xf numFmtId="0" fontId="14" fillId="8" borderId="1" xfId="0" applyFont="1" applyFill="1" applyBorder="1" applyAlignment="1">
      <alignment horizontal="center"/>
    </xf>
    <xf numFmtId="0" fontId="5" fillId="8" borderId="4" xfId="0" applyFont="1" applyFill="1" applyBorder="1" applyAlignment="1">
      <alignment horizontal="center"/>
    </xf>
    <xf numFmtId="0" fontId="5" fillId="8" borderId="1" xfId="0" applyFont="1" applyFill="1" applyBorder="1" applyAlignment="1">
      <alignment horizontal="center"/>
    </xf>
    <xf numFmtId="0" fontId="4" fillId="5" borderId="1" xfId="0" applyFont="1" applyFill="1" applyBorder="1" applyAlignment="1">
      <alignment horizontal="center"/>
    </xf>
    <xf numFmtId="0" fontId="4" fillId="5" borderId="0" xfId="0" applyFont="1" applyFill="1" applyBorder="1" applyAlignment="1">
      <alignment horizontal="center"/>
    </xf>
    <xf numFmtId="0" fontId="5" fillId="0" borderId="0" xfId="0" applyNumberFormat="1" applyFont="1" applyAlignment="1">
      <alignment horizontal="center"/>
    </xf>
    <xf numFmtId="0" fontId="5" fillId="0" borderId="0" xfId="0" applyFont="1" applyAlignment="1">
      <alignment horizontal="center"/>
    </xf>
    <xf numFmtId="49" fontId="5" fillId="0" borderId="0" xfId="0" applyNumberFormat="1" applyFont="1" applyAlignment="1">
      <alignment horizontal="center"/>
    </xf>
    <xf numFmtId="164" fontId="17" fillId="0" borderId="0" xfId="2" applyNumberFormat="1" applyFill="1" applyAlignment="1">
      <alignment horizontal="left"/>
    </xf>
  </cellXfs>
  <cellStyles count="3">
    <cellStyle name="Comma" xfId="1" builtinId="3"/>
    <cellStyle name="Hyperlink" xfId="2" builtinId="8"/>
    <cellStyle name="Normal" xfId="0" builtinId="0"/>
  </cellStyles>
  <dxfs count="2">
    <dxf>
      <font>
        <b/>
        <i val="0"/>
      </font>
      <fill>
        <patternFill>
          <bgColor rgb="FFFFFF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38100</xdr:colOff>
      <xdr:row>30</xdr:row>
      <xdr:rowOff>183930</xdr:rowOff>
    </xdr:from>
    <xdr:to>
      <xdr:col>9</xdr:col>
      <xdr:colOff>819150</xdr:colOff>
      <xdr:row>38</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23875" y="6118005"/>
          <a:ext cx="6934200" cy="1416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0" u="none" strike="noStrike">
              <a:solidFill>
                <a:schemeClr val="dk1"/>
              </a:solidFill>
              <a:effectLst/>
              <a:latin typeface="+mn-lt"/>
              <a:ea typeface="+mn-ea"/>
              <a:cs typeface="+mn-cs"/>
            </a:rPr>
            <a:t>1</a:t>
          </a:r>
          <a:r>
            <a:rPr lang="en-US" sz="1100" b="1" i="0" u="none" strike="noStrike" baseline="0">
              <a:solidFill>
                <a:schemeClr val="dk1"/>
              </a:solidFill>
              <a:effectLst/>
              <a:latin typeface="+mn-lt"/>
              <a:ea typeface="+mn-ea"/>
              <a:cs typeface="+mn-cs"/>
            </a:rPr>
            <a:t> </a:t>
          </a:r>
          <a:r>
            <a:rPr lang="en-US" sz="1000" b="0" i="0" u="none" strike="noStrike">
              <a:solidFill>
                <a:schemeClr val="dk1"/>
              </a:solidFill>
              <a:effectLst/>
              <a:latin typeface="+mn-lt"/>
              <a:ea typeface="+mn-ea"/>
              <a:cs typeface="+mn-cs"/>
            </a:rPr>
            <a:t>Act 40</a:t>
          </a:r>
          <a:r>
            <a:rPr lang="en-US" sz="1000" b="0" i="0" u="none" strike="noStrike" baseline="0">
              <a:solidFill>
                <a:schemeClr val="dk1"/>
              </a:solidFill>
              <a:effectLst/>
              <a:latin typeface="+mn-lt"/>
              <a:ea typeface="+mn-ea"/>
              <a:cs typeface="+mn-cs"/>
            </a:rPr>
            <a:t> —</a:t>
          </a:r>
          <a:r>
            <a:rPr lang="en-US" sz="1000" b="0" i="0" u="none" strike="noStrike">
              <a:solidFill>
                <a:schemeClr val="dk1"/>
              </a:solidFill>
              <a:effectLst/>
              <a:latin typeface="+mn-lt"/>
              <a:ea typeface="+mn-ea"/>
              <a:cs typeface="+mn-cs"/>
            </a:rPr>
            <a:t> the South Carolina Infrastructure and Economic Development Reform Act — became effective July 1,  2017.</a:t>
          </a:r>
          <a:r>
            <a:rPr lang="en-US" sz="1000" b="0"/>
            <a:t>  Act</a:t>
          </a:r>
          <a:br>
            <a:rPr lang="en-US" sz="1000" b="0"/>
          </a:br>
          <a:r>
            <a:rPr lang="en-US" sz="1000" b="0"/>
            <a:t>  40</a:t>
          </a:r>
          <a:r>
            <a:rPr lang="en-US" sz="1000" b="0" i="0">
              <a:solidFill>
                <a:schemeClr val="dk1"/>
              </a:solidFill>
              <a:effectLst/>
              <a:latin typeface="+mn-lt"/>
              <a:ea typeface="+mn-ea"/>
              <a:cs typeface="+mn-cs"/>
            </a:rPr>
            <a:t> established the Infrastructure Maintenance Trust Fund (IMTF) and</a:t>
          </a:r>
          <a:r>
            <a:rPr lang="en-US" sz="1000" b="0"/>
            <a:t> restricted the use of IMTF receipts to repairing, </a:t>
          </a:r>
          <a:br>
            <a:rPr lang="en-US" sz="1000" b="0"/>
          </a:br>
          <a:r>
            <a:rPr lang="en-US" sz="1000" b="0"/>
            <a:t>  maintaining, and improving South Carolina's </a:t>
          </a:r>
          <a:r>
            <a:rPr lang="en-US" sz="1000" b="0" u="none"/>
            <a:t>existing</a:t>
          </a:r>
          <a:r>
            <a:rPr lang="en-US" sz="1000" b="0" u="none" baseline="0"/>
            <a:t> roads and bridges only</a:t>
          </a:r>
          <a:r>
            <a:rPr lang="en-US" sz="1000" b="0" u="none"/>
            <a:t>.</a:t>
          </a:r>
        </a:p>
        <a:p>
          <a:endParaRPr lang="en-US" sz="1000" b="0" u="none"/>
        </a:p>
        <a:p>
          <a:r>
            <a:rPr lang="en-US" sz="800" b="1" u="none"/>
            <a:t>2</a:t>
          </a:r>
          <a:r>
            <a:rPr lang="en-US" sz="1000" b="1" u="none"/>
            <a:t> </a:t>
          </a:r>
          <a:r>
            <a:rPr lang="en-US" sz="1000" b="0" u="none"/>
            <a:t>Available funds in the Safety Maintenance Account were not sufficient to fund the $40</a:t>
          </a:r>
          <a:r>
            <a:rPr lang="en-US" sz="1000" b="0" u="none" baseline="0"/>
            <a:t> million</a:t>
          </a:r>
          <a:r>
            <a:rPr lang="en-US" sz="1000" b="0" u="none"/>
            <a:t> preventative</a:t>
          </a:r>
          <a:r>
            <a:rPr lang="en-US" sz="1000" b="0" u="none" baseline="0"/>
            <a:t> m</a:t>
          </a:r>
          <a:r>
            <a:rPr lang="en-US" sz="1000" b="0" u="none"/>
            <a:t>aintenance tax</a:t>
          </a:r>
          <a:br>
            <a:rPr lang="en-US" sz="1000" b="0" u="none"/>
          </a:br>
          <a:r>
            <a:rPr lang="en-US" sz="1000" b="0" u="none" baseline="0"/>
            <a:t> </a:t>
          </a:r>
          <a:r>
            <a:rPr lang="en-US" sz="1000" b="0" u="none"/>
            <a:t> credit that had been anticipated. In January 2019, the shortfall amount was transferred from the Infrastructure</a:t>
          </a:r>
        </a:p>
        <a:p>
          <a:r>
            <a:rPr lang="en-US" sz="1000" b="0" u="none"/>
            <a:t>  Maintenance Trust Fund to the Safety Maintenance Account as directed by Proviso 84.15 of the 2018-2019 General </a:t>
          </a:r>
          <a:br>
            <a:rPr lang="en-US" sz="1000" b="0" u="none"/>
          </a:br>
          <a:r>
            <a:rPr lang="en-US" sz="1000" b="0" u="none"/>
            <a:t>  Appropriations Act.</a:t>
          </a:r>
        </a:p>
        <a:p>
          <a:r>
            <a:rPr lang="en-US" sz="1000" b="0" u="none"/>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22</xdr:row>
      <xdr:rowOff>85725</xdr:rowOff>
    </xdr:from>
    <xdr:to>
      <xdr:col>9</xdr:col>
      <xdr:colOff>1000126</xdr:colOff>
      <xdr:row>30</xdr:row>
      <xdr:rowOff>123824</xdr:rowOff>
    </xdr:to>
    <xdr:sp macro="" textlink="">
      <xdr:nvSpPr>
        <xdr:cNvPr id="3" name="TextBox 2">
          <a:extLst>
            <a:ext uri="{FF2B5EF4-FFF2-40B4-BE49-F238E27FC236}">
              <a16:creationId xmlns:a16="http://schemas.microsoft.com/office/drawing/2014/main" id="{00000000-0008-0000-0100-000002000000}"/>
            </a:ext>
          </a:extLst>
        </xdr:cNvPr>
        <xdr:cNvSpPr txBox="1"/>
      </xdr:nvSpPr>
      <xdr:spPr>
        <a:xfrm>
          <a:off x="714375" y="4591050"/>
          <a:ext cx="6648451" cy="1562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0" u="none" strike="noStrike">
              <a:solidFill>
                <a:schemeClr val="dk1"/>
              </a:solidFill>
              <a:effectLst/>
              <a:latin typeface="+mn-lt"/>
              <a:ea typeface="+mn-ea"/>
              <a:cs typeface="+mn-cs"/>
            </a:rPr>
            <a:t>1 </a:t>
          </a:r>
          <a:r>
            <a:rPr lang="en-US" sz="1000" b="0" i="0" u="none" strike="noStrike">
              <a:solidFill>
                <a:schemeClr val="dk1"/>
              </a:solidFill>
              <a:effectLst/>
              <a:latin typeface="+mn-lt"/>
              <a:ea typeface="+mn-ea"/>
              <a:cs typeface="+mn-cs"/>
            </a:rPr>
            <a:t>Act 40</a:t>
          </a:r>
          <a:r>
            <a:rPr lang="en-US" sz="1000" b="0" i="0" u="none" strike="noStrike" baseline="0">
              <a:solidFill>
                <a:schemeClr val="dk1"/>
              </a:solidFill>
              <a:effectLst/>
              <a:latin typeface="+mn-lt"/>
              <a:ea typeface="+mn-ea"/>
              <a:cs typeface="+mn-cs"/>
            </a:rPr>
            <a:t> —</a:t>
          </a:r>
          <a:r>
            <a:rPr lang="en-US" sz="1000" b="0" i="0" u="none" strike="noStrike">
              <a:solidFill>
                <a:schemeClr val="dk1"/>
              </a:solidFill>
              <a:effectLst/>
              <a:latin typeface="+mn-lt"/>
              <a:ea typeface="+mn-ea"/>
              <a:cs typeface="+mn-cs"/>
            </a:rPr>
            <a:t> the South Carolina Infrastructure and Economic Development Reform Act — became effective July 1,  2017.</a:t>
          </a:r>
          <a:r>
            <a:rPr lang="en-US" sz="1000" b="0"/>
            <a:t>  Act </a:t>
          </a:r>
          <a:br>
            <a:rPr lang="en-US" sz="1000" b="0"/>
          </a:br>
          <a:r>
            <a:rPr lang="en-US" sz="1000" b="0"/>
            <a:t>  40</a:t>
          </a:r>
          <a:r>
            <a:rPr lang="en-US" sz="1000" b="0" i="0">
              <a:solidFill>
                <a:schemeClr val="dk1"/>
              </a:solidFill>
              <a:effectLst/>
              <a:latin typeface="+mn-lt"/>
              <a:ea typeface="+mn-ea"/>
              <a:cs typeface="+mn-cs"/>
            </a:rPr>
            <a:t>  established the Safety</a:t>
          </a:r>
          <a:r>
            <a:rPr lang="en-US" sz="1000" b="0" i="0" baseline="0">
              <a:solidFill>
                <a:schemeClr val="dk1"/>
              </a:solidFill>
              <a:effectLst/>
              <a:latin typeface="+mn-lt"/>
              <a:ea typeface="+mn-ea"/>
              <a:cs typeface="+mn-cs"/>
            </a:rPr>
            <a:t> Maintenance Account, and it provided </a:t>
          </a:r>
          <a:r>
            <a:rPr lang="en-US" sz="1000" b="0">
              <a:solidFill>
                <a:schemeClr val="dk1"/>
              </a:solidFill>
              <a:effectLst/>
              <a:latin typeface="+mn-lt"/>
              <a:ea typeface="+mn-ea"/>
              <a:cs typeface="+mn-cs"/>
            </a:rPr>
            <a:t>that r</a:t>
          </a:r>
          <a:r>
            <a:rPr lang="en-US" sz="1000">
              <a:solidFill>
                <a:schemeClr val="dk1"/>
              </a:solidFill>
              <a:effectLst/>
              <a:latin typeface="+mn-lt"/>
              <a:ea typeface="+mn-ea"/>
              <a:cs typeface="+mn-cs"/>
            </a:rPr>
            <a:t>egistration fees deposited</a:t>
          </a:r>
          <a:r>
            <a:rPr lang="en-US" sz="1000" baseline="0">
              <a:solidFill>
                <a:schemeClr val="dk1"/>
              </a:solidFill>
              <a:effectLst/>
              <a:latin typeface="+mn-lt"/>
              <a:ea typeface="+mn-ea"/>
              <a:cs typeface="+mn-cs"/>
            </a:rPr>
            <a:t> into the Safety</a:t>
          </a:r>
          <a:br>
            <a:rPr lang="en-US" sz="1000" baseline="0">
              <a:solidFill>
                <a:schemeClr val="dk1"/>
              </a:solidFill>
              <a:effectLst/>
              <a:latin typeface="+mn-lt"/>
              <a:ea typeface="+mn-ea"/>
              <a:cs typeface="+mn-cs"/>
            </a:rPr>
          </a:br>
          <a:r>
            <a:rPr lang="en-US" sz="1000" baseline="0">
              <a:solidFill>
                <a:schemeClr val="dk1"/>
              </a:solidFill>
              <a:effectLst/>
              <a:latin typeface="+mn-lt"/>
              <a:ea typeface="+mn-ea"/>
              <a:cs typeface="+mn-cs"/>
            </a:rPr>
            <a:t>  Maintenance Account, which are derived from vehicles orginally registered in another state and then subsequently</a:t>
          </a:r>
          <a:br>
            <a:rPr lang="en-US" sz="1000" baseline="0">
              <a:solidFill>
                <a:schemeClr val="dk1"/>
              </a:solidFill>
              <a:effectLst/>
              <a:latin typeface="+mn-lt"/>
              <a:ea typeface="+mn-ea"/>
              <a:cs typeface="+mn-cs"/>
            </a:rPr>
          </a:br>
          <a:r>
            <a:rPr lang="en-US" sz="1000" baseline="0">
              <a:solidFill>
                <a:schemeClr val="dk1"/>
              </a:solidFill>
              <a:effectLst/>
              <a:latin typeface="+mn-lt"/>
              <a:ea typeface="+mn-ea"/>
              <a:cs typeface="+mn-cs"/>
            </a:rPr>
            <a:t>  registered in South Carolina, can be used only to fund state individual income tax credits for preventative maintenance </a:t>
          </a:r>
          <a:br>
            <a:rPr lang="en-US" sz="1000" baseline="0">
              <a:solidFill>
                <a:schemeClr val="dk1"/>
              </a:solidFill>
              <a:effectLst/>
              <a:latin typeface="+mn-lt"/>
              <a:ea typeface="+mn-ea"/>
              <a:cs typeface="+mn-cs"/>
            </a:rPr>
          </a:br>
          <a:r>
            <a:rPr lang="en-US" sz="1000" baseline="0">
              <a:solidFill>
                <a:schemeClr val="dk1"/>
              </a:solidFill>
              <a:effectLst/>
              <a:latin typeface="+mn-lt"/>
              <a:ea typeface="+mn-ea"/>
              <a:cs typeface="+mn-cs"/>
            </a:rPr>
            <a:t>  costs incurred on private passenger vehicles.</a:t>
          </a:r>
          <a:endParaRPr lang="en-US" sz="1000">
            <a:effectLst/>
          </a:endParaRPr>
        </a:p>
        <a:p>
          <a:pPr marL="0" indent="0"/>
          <a:endParaRPr lang="en-US" sz="1000" b="0">
            <a:solidFill>
              <a:schemeClr val="dk1"/>
            </a:solidFill>
            <a:latin typeface="+mn-lt"/>
            <a:ea typeface="+mn-ea"/>
            <a:cs typeface="+mn-cs"/>
          </a:endParaRPr>
        </a:p>
        <a:p>
          <a:pPr marL="0" indent="0"/>
          <a:r>
            <a:rPr lang="en-US" sz="800" b="1">
              <a:solidFill>
                <a:schemeClr val="dk1"/>
              </a:solidFill>
              <a:latin typeface="+mn-lt"/>
              <a:ea typeface="+mn-ea"/>
              <a:cs typeface="+mn-cs"/>
            </a:rPr>
            <a:t>2 </a:t>
          </a:r>
          <a:r>
            <a:rPr lang="en-US" sz="1000" b="0">
              <a:solidFill>
                <a:schemeClr val="dk1"/>
              </a:solidFill>
              <a:latin typeface="+mn-lt"/>
              <a:ea typeface="+mn-ea"/>
              <a:cs typeface="+mn-cs"/>
            </a:rPr>
            <a:t>A total of $40 million was transferred to the Department of Revenue to fund the estimated preventative maintenance</a:t>
          </a:r>
        </a:p>
        <a:p>
          <a:pPr marL="0" indent="0"/>
          <a:r>
            <a:rPr lang="en-US" sz="1000" b="0" baseline="0">
              <a:solidFill>
                <a:schemeClr val="dk1"/>
              </a:solidFill>
              <a:latin typeface="+mn-lt"/>
              <a:ea typeface="+mn-ea"/>
              <a:cs typeface="+mn-cs"/>
            </a:rPr>
            <a:t>  </a:t>
          </a:r>
          <a:r>
            <a:rPr lang="en-US" sz="1000" b="0">
              <a:solidFill>
                <a:schemeClr val="dk1"/>
              </a:solidFill>
              <a:latin typeface="+mn-lt"/>
              <a:ea typeface="+mn-ea"/>
              <a:cs typeface="+mn-cs"/>
            </a:rPr>
            <a:t>income tax credits as certified by the Board of Economic Advisors.  We will provide the total amount claimed annually by</a:t>
          </a:r>
        </a:p>
        <a:p>
          <a:pPr marL="0" indent="0"/>
          <a:r>
            <a:rPr lang="en-US" sz="1000" b="0" baseline="0">
              <a:solidFill>
                <a:schemeClr val="dk1"/>
              </a:solidFill>
              <a:latin typeface="+mn-lt"/>
              <a:ea typeface="+mn-ea"/>
              <a:cs typeface="+mn-cs"/>
            </a:rPr>
            <a:t>  </a:t>
          </a:r>
          <a:r>
            <a:rPr lang="en-US" sz="1000" b="0">
              <a:solidFill>
                <a:schemeClr val="dk1"/>
              </a:solidFill>
              <a:latin typeface="+mn-lt"/>
              <a:ea typeface="+mn-ea"/>
              <a:cs typeface="+mn-cs"/>
            </a:rPr>
            <a:t>taxpayers once that information becomes available.</a:t>
          </a:r>
        </a:p>
        <a:p>
          <a:endParaRPr lang="en-US" sz="10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55</xdr:row>
      <xdr:rowOff>133350</xdr:rowOff>
    </xdr:from>
    <xdr:to>
      <xdr:col>6</xdr:col>
      <xdr:colOff>1019174</xdr:colOff>
      <xdr:row>68</xdr:row>
      <xdr:rowOff>28575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4775" y="5343525"/>
          <a:ext cx="4724399" cy="2371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mn-lt"/>
              <a:ea typeface="+mn-ea"/>
              <a:cs typeface="+mn-cs"/>
            </a:rPr>
            <a:t>A portion of the state gas tax on gasoline sales in each county is sent to the state monthly and deposited into SCDOT’s county transportation fund, or “C” fund, for county transportation projects.  The State accumulates these deposits and returns them to counties annually based on an allocation formula provided in state law.  This allocation formula results in some counties receiving back more “C” funds than they deposit during the year while other counties get back less than they deposit. The State calls counties that get back less “donor counties” and it directs SCDOT to make up to $20.5 million per year in total additional distributions to donor counties using a distribution formula provided in state law.  No donor county’s share of its additional distribution when combined with its regular “C” fund allocation may exceed its annual “C” fund contribution. (For additional details on the SCDOT County Transportation Fund see SC Code of Laws Section 12-28-2740.)</a:t>
          </a:r>
          <a:endParaRPr lang="en-US" sz="110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476250</xdr:colOff>
      <xdr:row>4</xdr:row>
      <xdr:rowOff>9525</xdr:rowOff>
    </xdr:from>
    <xdr:to>
      <xdr:col>7</xdr:col>
      <xdr:colOff>523875</xdr:colOff>
      <xdr:row>39</xdr:row>
      <xdr:rowOff>161925</xdr:rowOff>
    </xdr:to>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a:off x="7496175" y="781050"/>
          <a:ext cx="47625" cy="495300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457200</xdr:colOff>
      <xdr:row>39</xdr:row>
      <xdr:rowOff>161925</xdr:rowOff>
    </xdr:from>
    <xdr:to>
      <xdr:col>7</xdr:col>
      <xdr:colOff>514350</xdr:colOff>
      <xdr:row>40</xdr:row>
      <xdr:rowOff>0</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flipH="1">
          <a:off x="2009775" y="5734050"/>
          <a:ext cx="5524500" cy="2857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466725</xdr:colOff>
      <xdr:row>40</xdr:row>
      <xdr:rowOff>0</xdr:rowOff>
    </xdr:from>
    <xdr:to>
      <xdr:col>1</xdr:col>
      <xdr:colOff>466725</xdr:colOff>
      <xdr:row>41</xdr:row>
      <xdr:rowOff>19050</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a:off x="2019300" y="5762625"/>
          <a:ext cx="0" cy="209550"/>
        </a:xfrm>
        <a:prstGeom prst="straightConnector1">
          <a:avLst/>
        </a:prstGeom>
        <a:ln>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78</xdr:row>
      <xdr:rowOff>38100</xdr:rowOff>
    </xdr:from>
    <xdr:to>
      <xdr:col>7</xdr:col>
      <xdr:colOff>685800</xdr:colOff>
      <xdr:row>88</xdr:row>
      <xdr:rowOff>190499</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38100" y="15592425"/>
          <a:ext cx="8315325" cy="2057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a:t>
          </a:r>
        </a:p>
        <a:p>
          <a:r>
            <a:rPr lang="en-US" sz="1100"/>
            <a:t>- Amounts</a:t>
          </a:r>
          <a:r>
            <a:rPr lang="en-US" sz="1100" baseline="0"/>
            <a:t> deposited in the Infrastructure Maintenance Trust Fund can be used only to repair, maintain, and improve South Carolina's existing highway system.</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Revenues for the departments of Natural Resources and Motor Vehicles are on a one month lag.  In June, a yearend "catchup" occurs which shows two months of activity for these agencies.</a:t>
          </a:r>
          <a:endParaRPr lang="en-US">
            <a:effectLst/>
          </a:endParaRPr>
        </a:p>
        <a:p>
          <a:r>
            <a:rPr lang="en-US" sz="1100" baseline="0">
              <a:solidFill>
                <a:schemeClr val="dk1"/>
              </a:solidFill>
              <a:effectLst/>
              <a:latin typeface="+mn-lt"/>
              <a:ea typeface="+mn-ea"/>
              <a:cs typeface="+mn-cs"/>
            </a:rPr>
            <a:t>- Sales Tax collected by the Department of Natural Resources were not remitted to the Department of Revenue in time to be included in the November transfer and are presented in December Totals. This occured again in December and January and "catchup" transfers will be needed in February.</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Available funds in the Safety Maintenance Account were not sufficient to fund the anticipated $40M Safety Maintenance Credit as certified by the Board of Economic Advisors.  In January, the amount of shortfall was transferred from the Infrastructure Maintenance Trust Fund as authorized by Proviso 84.15 of the 2018-2019 General Appropriations Act.</a:t>
          </a:r>
          <a:endParaRPr lang="en-US">
            <a:effectLst/>
          </a:endParaRPr>
        </a:p>
        <a:p>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457200</xdr:colOff>
      <xdr:row>27</xdr:row>
      <xdr:rowOff>0</xdr:rowOff>
    </xdr:from>
    <xdr:to>
      <xdr:col>1</xdr:col>
      <xdr:colOff>466725</xdr:colOff>
      <xdr:row>28</xdr:row>
      <xdr:rowOff>19050</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a:off x="2266950" y="3829050"/>
          <a:ext cx="9525" cy="200025"/>
        </a:xfrm>
        <a:prstGeom prst="straightConnector1">
          <a:avLst/>
        </a:prstGeom>
        <a:ln>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438150</xdr:colOff>
      <xdr:row>4</xdr:row>
      <xdr:rowOff>9525</xdr:rowOff>
    </xdr:from>
    <xdr:to>
      <xdr:col>7</xdr:col>
      <xdr:colOff>466725</xdr:colOff>
      <xdr:row>26</xdr:row>
      <xdr:rowOff>190500</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7820025" y="647700"/>
          <a:ext cx="28575" cy="317182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466725</xdr:colOff>
      <xdr:row>26</xdr:row>
      <xdr:rowOff>180975</xdr:rowOff>
    </xdr:from>
    <xdr:to>
      <xdr:col>7</xdr:col>
      <xdr:colOff>476250</xdr:colOff>
      <xdr:row>26</xdr:row>
      <xdr:rowOff>190500</xdr:rowOff>
    </xdr:to>
    <xdr:cxnSp macro="">
      <xdr:nvCxnSpPr>
        <xdr:cNvPr id="4" name="Straight Connector 3">
          <a:extLst>
            <a:ext uri="{FF2B5EF4-FFF2-40B4-BE49-F238E27FC236}">
              <a16:creationId xmlns:a16="http://schemas.microsoft.com/office/drawing/2014/main" id="{00000000-0008-0000-0500-000004000000}"/>
            </a:ext>
          </a:extLst>
        </xdr:cNvPr>
        <xdr:cNvCxnSpPr/>
      </xdr:nvCxnSpPr>
      <xdr:spPr>
        <a:xfrm flipH="1">
          <a:off x="2276475" y="3810000"/>
          <a:ext cx="5581650" cy="952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52</xdr:row>
      <xdr:rowOff>190499</xdr:rowOff>
    </xdr:from>
    <xdr:to>
      <xdr:col>7</xdr:col>
      <xdr:colOff>285750</xdr:colOff>
      <xdr:row>63</xdr:row>
      <xdr:rowOff>85725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0" y="10506074"/>
          <a:ext cx="8020050" cy="1895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a:t>
          </a:r>
        </a:p>
        <a:p>
          <a:r>
            <a:rPr lang="en-US" sz="1100"/>
            <a:t>- Registration fees deposited</a:t>
          </a:r>
          <a:r>
            <a:rPr lang="en-US" sz="1100" baseline="0"/>
            <a:t> into the Safety Maintenance Account, which are derived from vehicles orginally registered in another state and then subsequently registered in South Carolina, can be used only to fund state individual income tax credits for preventative maintenance costs incurred on private passenger vehicles.</a:t>
          </a:r>
        </a:p>
        <a:p>
          <a:pPr eaLnBrk="1" fontAlgn="auto" latinLnBrk="0" hangingPunct="1"/>
          <a:r>
            <a:rPr lang="en-US" sz="1100" baseline="0">
              <a:solidFill>
                <a:schemeClr val="dk1"/>
              </a:solidFill>
              <a:effectLst/>
              <a:latin typeface="+mn-lt"/>
              <a:ea typeface="+mn-ea"/>
              <a:cs typeface="+mn-cs"/>
            </a:rPr>
            <a:t>- Revenues for the Department of Motor Vehicles are on a one month lag.  In June, a yearend "catchup" occurs which shows two months of activity for this agency.</a:t>
          </a:r>
          <a:endParaRPr lang="en-US">
            <a:effectLst/>
          </a:endParaRPr>
        </a:p>
        <a:p>
          <a:pPr eaLnBrk="1" fontAlgn="auto" latinLnBrk="0" hangingPunct="1"/>
          <a:r>
            <a:rPr lang="en-US" sz="1100" baseline="0">
              <a:solidFill>
                <a:schemeClr val="dk1"/>
              </a:solidFill>
              <a:effectLst/>
              <a:latin typeface="+mn-lt"/>
              <a:ea typeface="+mn-ea"/>
              <a:cs typeface="+mn-cs"/>
            </a:rPr>
            <a:t>- Available funds in the Safety Maintenance Account were not sufficient to fund the anticipated $40M Safety Maintenance Credit as certified by the Board of Economic Advisors.  In January, the amount of shortfall was transferred from the Infrastructure Maintenance Trust Fund as authorized by Proviso 84.15 of the 2018-2019 General Appropriations Act.  The $40M was transferred to the Department of Revenue to fund the estimated credit.</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g.sc.gov/sites/default/files/Documents/Fiscal%20Transparency/New%20Taxes%20and%20Fee%20for%20Road%20Maintenance/Donor_Countie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1"/>
  <sheetViews>
    <sheetView workbookViewId="0">
      <selection activeCell="B2" sqref="B2"/>
    </sheetView>
  </sheetViews>
  <sheetFormatPr defaultRowHeight="15" x14ac:dyDescent="0.25"/>
  <cols>
    <col min="2" max="2" width="15.140625" bestFit="1" customWidth="1"/>
  </cols>
  <sheetData>
    <row r="1" spans="1:2" ht="18.75" x14ac:dyDescent="0.3">
      <c r="A1" s="69" t="s">
        <v>48</v>
      </c>
      <c r="B1" s="68">
        <v>43496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Q38"/>
  <sheetViews>
    <sheetView showGridLines="0" tabSelected="1" zoomScaleNormal="100" workbookViewId="0">
      <selection activeCell="B24" sqref="B24"/>
    </sheetView>
  </sheetViews>
  <sheetFormatPr defaultRowHeight="15" x14ac:dyDescent="0.25"/>
  <cols>
    <col min="1" max="1" width="7.28515625" customWidth="1"/>
    <col min="2" max="2" width="33.42578125" customWidth="1"/>
    <col min="3" max="3" width="1.7109375" bestFit="1" customWidth="1"/>
    <col min="4" max="4" width="14.42578125" bestFit="1" customWidth="1"/>
    <col min="5" max="5" width="1.140625" customWidth="1"/>
    <col min="6" max="6" width="18.5703125" bestFit="1" customWidth="1"/>
    <col min="7" max="7" width="3.85546875" customWidth="1"/>
    <col min="8" max="8" width="17.28515625" customWidth="1"/>
    <col min="9" max="9" width="3.5703125" customWidth="1"/>
    <col min="10" max="10" width="12.85546875" customWidth="1"/>
    <col min="15" max="15" width="15.28515625" bestFit="1" customWidth="1"/>
    <col min="16" max="16" width="11.85546875" bestFit="1" customWidth="1"/>
  </cols>
  <sheetData>
    <row r="2" spans="2:17" ht="23.25" x14ac:dyDescent="0.35">
      <c r="B2" s="102" t="s">
        <v>47</v>
      </c>
      <c r="C2" s="102"/>
      <c r="D2" s="102"/>
      <c r="E2" s="102"/>
      <c r="F2" s="102"/>
      <c r="G2" s="102"/>
      <c r="H2" s="102"/>
      <c r="I2" s="102"/>
      <c r="J2" s="102"/>
    </row>
    <row r="3" spans="2:17" ht="23.25" x14ac:dyDescent="0.35">
      <c r="B3" s="104" t="str">
        <f>"through the month of "&amp;TEXT(Date!B1,"mmmm yyyy")</f>
        <v>through the month of January 2019</v>
      </c>
      <c r="C3" s="104"/>
      <c r="D3" s="104"/>
      <c r="E3" s="104"/>
      <c r="F3" s="104"/>
      <c r="G3" s="104"/>
      <c r="H3" s="104"/>
      <c r="I3" s="104"/>
      <c r="J3" s="104"/>
    </row>
    <row r="4" spans="2:17" s="49" customFormat="1" x14ac:dyDescent="0.25">
      <c r="J4" s="81"/>
      <c r="O4"/>
    </row>
    <row r="5" spans="2:17" s="49" customFormat="1" x14ac:dyDescent="0.25">
      <c r="D5" s="103" t="s">
        <v>37</v>
      </c>
      <c r="E5" s="103"/>
      <c r="F5" s="103"/>
      <c r="G5" s="65"/>
      <c r="H5" s="67" t="s">
        <v>46</v>
      </c>
      <c r="J5" s="78" t="s">
        <v>45</v>
      </c>
      <c r="O5"/>
    </row>
    <row r="6" spans="2:17" s="49" customFormat="1" x14ac:dyDescent="0.25">
      <c r="D6" s="74" t="s">
        <v>44</v>
      </c>
      <c r="E6" s="74"/>
      <c r="F6" s="74" t="s">
        <v>43</v>
      </c>
      <c r="G6" s="74"/>
      <c r="H6" s="74" t="s">
        <v>42</v>
      </c>
      <c r="I6" s="48"/>
      <c r="J6" s="78" t="s">
        <v>41</v>
      </c>
      <c r="O6"/>
      <c r="P6"/>
      <c r="Q6"/>
    </row>
    <row r="7" spans="2:17" s="49" customFormat="1" ht="17.25" x14ac:dyDescent="0.25">
      <c r="D7" s="75" t="str">
        <f>"of "&amp;TEXT(Date!B1,"mmmm")</f>
        <v>of January</v>
      </c>
      <c r="E7" s="74"/>
      <c r="F7" s="75" t="s">
        <v>101</v>
      </c>
      <c r="G7" s="74"/>
      <c r="H7" s="75" t="s">
        <v>40</v>
      </c>
      <c r="I7" s="48"/>
      <c r="J7" s="82" t="s">
        <v>119</v>
      </c>
      <c r="O7"/>
      <c r="P7"/>
      <c r="Q7"/>
    </row>
    <row r="8" spans="2:17" s="49" customFormat="1" x14ac:dyDescent="0.25">
      <c r="D8" s="64"/>
      <c r="E8" s="65"/>
      <c r="F8" s="64"/>
      <c r="G8" s="65"/>
      <c r="H8" s="64"/>
      <c r="J8" s="83"/>
      <c r="O8"/>
      <c r="P8"/>
      <c r="Q8"/>
    </row>
    <row r="9" spans="2:17" s="49" customFormat="1" x14ac:dyDescent="0.25">
      <c r="B9" s="73" t="s">
        <v>39</v>
      </c>
      <c r="C9" s="73"/>
      <c r="D9" s="63">
        <f>F29-D21-D27</f>
        <v>407362553</v>
      </c>
      <c r="E9" s="63"/>
      <c r="F9" s="63">
        <f>H29</f>
        <v>288610909</v>
      </c>
      <c r="G9" s="63"/>
      <c r="H9" s="63">
        <v>0</v>
      </c>
      <c r="I9" s="63"/>
      <c r="J9" s="84">
        <v>0</v>
      </c>
      <c r="O9"/>
      <c r="P9"/>
      <c r="Q9"/>
    </row>
    <row r="10" spans="2:17" s="49" customFormat="1" x14ac:dyDescent="0.25">
      <c r="B10" s="48"/>
      <c r="C10" s="48"/>
      <c r="D10" s="62"/>
      <c r="E10" s="54"/>
      <c r="F10" s="62"/>
      <c r="G10" s="54"/>
      <c r="H10" s="62"/>
      <c r="I10" s="54"/>
      <c r="J10" s="85"/>
      <c r="O10"/>
      <c r="P10"/>
      <c r="Q10"/>
    </row>
    <row r="11" spans="2:17" s="49" customFormat="1" x14ac:dyDescent="0.25">
      <c r="B11" s="56" t="s">
        <v>0</v>
      </c>
      <c r="C11" s="56"/>
      <c r="D11" s="54"/>
      <c r="E11" s="54"/>
      <c r="F11" s="54"/>
      <c r="G11" s="54"/>
      <c r="H11" s="54"/>
      <c r="I11" s="54"/>
      <c r="J11" s="86"/>
      <c r="K11" s="53"/>
      <c r="O11"/>
      <c r="P11"/>
      <c r="Q11"/>
    </row>
    <row r="12" spans="2:17" s="49" customFormat="1" x14ac:dyDescent="0.25">
      <c r="B12" s="60" t="s">
        <v>4</v>
      </c>
      <c r="C12" s="60"/>
      <c r="D12" s="54"/>
      <c r="E12" s="54"/>
      <c r="F12" s="54"/>
      <c r="G12" s="54"/>
      <c r="H12" s="54"/>
      <c r="I12" s="54"/>
      <c r="J12" s="86"/>
      <c r="K12" s="53"/>
      <c r="O12"/>
      <c r="P12"/>
      <c r="Q12"/>
    </row>
    <row r="13" spans="2:17" s="49" customFormat="1" x14ac:dyDescent="0.25">
      <c r="B13" s="59" t="s">
        <v>5</v>
      </c>
      <c r="C13" s="59"/>
      <c r="D13" s="54">
        <v>18059558</v>
      </c>
      <c r="E13" s="54"/>
      <c r="F13" s="54">
        <f>'Trust Fund Monthly'!H50</f>
        <v>124422499</v>
      </c>
      <c r="G13" s="54"/>
      <c r="H13" s="54">
        <v>222410628</v>
      </c>
      <c r="I13" s="54"/>
      <c r="J13" s="86">
        <f>SUM(F13:H13)</f>
        <v>346833127</v>
      </c>
      <c r="K13" s="53"/>
      <c r="O13"/>
      <c r="P13"/>
      <c r="Q13"/>
    </row>
    <row r="14" spans="2:17" s="49" customFormat="1" x14ac:dyDescent="0.25">
      <c r="B14" s="61" t="s">
        <v>104</v>
      </c>
      <c r="C14" s="61"/>
      <c r="D14" s="54">
        <v>14281642</v>
      </c>
      <c r="E14" s="54"/>
      <c r="F14" s="54">
        <f>'Trust Fund Monthly'!H58</f>
        <v>81546239</v>
      </c>
      <c r="G14" s="54"/>
      <c r="H14" s="54">
        <v>67798850</v>
      </c>
      <c r="I14" s="54"/>
      <c r="J14" s="86">
        <f>SUM(F14:H14)</f>
        <v>149345089</v>
      </c>
      <c r="K14" s="53"/>
      <c r="O14"/>
      <c r="P14"/>
      <c r="Q14"/>
    </row>
    <row r="15" spans="2:17" s="49" customFormat="1" x14ac:dyDescent="0.25">
      <c r="B15" s="61" t="s">
        <v>108</v>
      </c>
      <c r="C15" s="61"/>
      <c r="D15" s="54">
        <v>2490876</v>
      </c>
      <c r="E15" s="54"/>
      <c r="F15" s="54">
        <f>'Trust Fund Monthly'!H54</f>
        <v>17230485</v>
      </c>
      <c r="G15" s="54"/>
      <c r="H15" s="54">
        <v>17735741</v>
      </c>
      <c r="I15" s="54"/>
      <c r="J15" s="86">
        <f>SUM(F15:H15)</f>
        <v>34966226</v>
      </c>
      <c r="K15" s="53"/>
      <c r="O15"/>
      <c r="P15"/>
      <c r="Q15"/>
    </row>
    <row r="16" spans="2:17" s="49" customFormat="1" x14ac:dyDescent="0.25">
      <c r="B16" s="61" t="s">
        <v>23</v>
      </c>
      <c r="C16" s="61"/>
      <c r="D16" s="54">
        <v>166716</v>
      </c>
      <c r="E16" s="54"/>
      <c r="F16" s="54">
        <f>'Trust Fund Monthly'!H51+'Trust Fund Monthly'!H59+'Trust Fund Monthly'!H63</f>
        <v>1860378</v>
      </c>
      <c r="G16" s="54"/>
      <c r="H16" s="54">
        <v>3070547</v>
      </c>
      <c r="I16" s="54"/>
      <c r="J16" s="86">
        <f>SUM(F16:H16)</f>
        <v>4930925</v>
      </c>
      <c r="K16" s="53"/>
      <c r="O16"/>
      <c r="P16"/>
      <c r="Q16"/>
    </row>
    <row r="17" spans="2:17" s="49" customFormat="1" x14ac:dyDescent="0.25">
      <c r="B17" s="60" t="s">
        <v>13</v>
      </c>
      <c r="C17" s="60"/>
      <c r="D17" s="54"/>
      <c r="E17" s="54"/>
      <c r="F17" s="54"/>
      <c r="G17" s="54"/>
      <c r="H17" s="54"/>
      <c r="I17" s="54"/>
      <c r="J17" s="86"/>
      <c r="K17" s="53"/>
      <c r="O17"/>
      <c r="P17"/>
      <c r="Q17"/>
    </row>
    <row r="18" spans="2:17" s="49" customFormat="1" x14ac:dyDescent="0.25">
      <c r="B18" s="59" t="s">
        <v>14</v>
      </c>
      <c r="C18" s="59"/>
      <c r="D18" s="54">
        <v>114060</v>
      </c>
      <c r="E18" s="54"/>
      <c r="F18" s="54">
        <f>'Trust Fund Monthly'!H53</f>
        <v>807810</v>
      </c>
      <c r="G18" s="54"/>
      <c r="H18" s="54">
        <v>768810</v>
      </c>
      <c r="I18" s="54"/>
      <c r="J18" s="86">
        <f>SUM(F18:H18)</f>
        <v>1576620</v>
      </c>
      <c r="K18" s="53"/>
      <c r="O18"/>
      <c r="P18"/>
      <c r="Q18"/>
    </row>
    <row r="19" spans="2:17" s="49" customFormat="1" x14ac:dyDescent="0.25">
      <c r="B19" s="60" t="s">
        <v>16</v>
      </c>
      <c r="C19" s="60"/>
      <c r="D19" s="54"/>
      <c r="E19" s="54"/>
      <c r="F19" s="54"/>
      <c r="G19" s="54"/>
      <c r="H19" s="54"/>
      <c r="I19" s="54"/>
      <c r="J19" s="86"/>
      <c r="K19" s="53"/>
      <c r="O19"/>
      <c r="P19"/>
      <c r="Q19"/>
    </row>
    <row r="20" spans="2:17" s="49" customFormat="1" x14ac:dyDescent="0.25">
      <c r="B20" s="59" t="s">
        <v>105</v>
      </c>
      <c r="C20" s="59"/>
      <c r="D20" s="54">
        <v>487358</v>
      </c>
      <c r="E20" s="54"/>
      <c r="F20" s="54">
        <f>'Trust Fund Monthly'!H67</f>
        <v>2799406</v>
      </c>
      <c r="G20" s="54"/>
      <c r="H20" s="54">
        <v>846023</v>
      </c>
      <c r="I20" s="54"/>
      <c r="J20" s="86">
        <f>SUM(F20:H20)</f>
        <v>3645429</v>
      </c>
      <c r="K20" s="53"/>
      <c r="O20"/>
      <c r="P20"/>
      <c r="Q20"/>
    </row>
    <row r="21" spans="2:17" s="49" customFormat="1" x14ac:dyDescent="0.25">
      <c r="B21" s="58" t="s">
        <v>107</v>
      </c>
      <c r="C21" s="58"/>
      <c r="D21" s="57">
        <f>SUM(D12:D20)</f>
        <v>35600210</v>
      </c>
      <c r="E21" s="54"/>
      <c r="F21" s="57">
        <f>SUM(F12:F20)</f>
        <v>228666817</v>
      </c>
      <c r="G21" s="54"/>
      <c r="H21" s="57">
        <f>SUM(H12:H20)</f>
        <v>312630599</v>
      </c>
      <c r="I21" s="54"/>
      <c r="J21" s="87">
        <f>SUM(J12:J20)</f>
        <v>541297416</v>
      </c>
      <c r="K21" s="53"/>
      <c r="O21"/>
      <c r="P21"/>
      <c r="Q21"/>
    </row>
    <row r="22" spans="2:17" s="49" customFormat="1" x14ac:dyDescent="0.25">
      <c r="D22" s="54"/>
      <c r="E22" s="54"/>
      <c r="F22" s="54"/>
      <c r="G22" s="54"/>
      <c r="H22" s="54"/>
      <c r="I22" s="54"/>
      <c r="J22" s="86"/>
      <c r="K22" s="53"/>
      <c r="O22"/>
      <c r="P22"/>
      <c r="Q22"/>
    </row>
    <row r="23" spans="2:17" s="49" customFormat="1" x14ac:dyDescent="0.25">
      <c r="B23" s="56" t="s">
        <v>1</v>
      </c>
      <c r="C23" s="56"/>
      <c r="D23" s="54"/>
      <c r="E23" s="54"/>
      <c r="F23" s="54"/>
      <c r="G23" s="54"/>
      <c r="H23" s="54"/>
      <c r="I23" s="54"/>
      <c r="J23" s="86"/>
      <c r="K23" s="53"/>
      <c r="O23"/>
      <c r="P23"/>
      <c r="Q23"/>
    </row>
    <row r="24" spans="2:17" s="49" customFormat="1" x14ac:dyDescent="0.25">
      <c r="B24" s="112" t="s">
        <v>99</v>
      </c>
      <c r="C24" s="61"/>
      <c r="D24" s="54">
        <v>0</v>
      </c>
      <c r="E24" s="54"/>
      <c r="F24" s="54">
        <f>'Trust Fund Monthly'!H72</f>
        <v>-17620764</v>
      </c>
      <c r="G24" s="54"/>
      <c r="H24" s="54">
        <v>-17022713</v>
      </c>
      <c r="I24" s="54"/>
      <c r="J24" s="86">
        <f>SUM(F24:H24)</f>
        <v>-34643477</v>
      </c>
      <c r="K24" s="53"/>
      <c r="O24"/>
      <c r="P24"/>
      <c r="Q24"/>
    </row>
    <row r="25" spans="2:17" s="49" customFormat="1" x14ac:dyDescent="0.25">
      <c r="B25" s="61" t="s">
        <v>100</v>
      </c>
      <c r="C25" s="61"/>
      <c r="D25" s="54">
        <v>-4749383</v>
      </c>
      <c r="E25" s="54"/>
      <c r="F25" s="54">
        <f>'Trust Fund Monthly'!H73</f>
        <v>-61443582</v>
      </c>
      <c r="G25" s="54"/>
      <c r="H25" s="54">
        <v>-6996977</v>
      </c>
      <c r="I25" s="54"/>
      <c r="J25" s="86">
        <f>SUM(F25:H25)</f>
        <v>-68440559</v>
      </c>
      <c r="K25" s="53"/>
      <c r="O25"/>
      <c r="P25"/>
      <c r="Q25"/>
    </row>
    <row r="26" spans="2:17" s="49" customFormat="1" ht="17.25" x14ac:dyDescent="0.25">
      <c r="B26" s="61" t="s">
        <v>120</v>
      </c>
      <c r="C26" s="100" t="s">
        <v>121</v>
      </c>
      <c r="D26" s="54">
        <v>-12751399</v>
      </c>
      <c r="E26" s="54"/>
      <c r="F26" s="54">
        <f>'Trust Fund Monthly'!H74</f>
        <v>-12751399</v>
      </c>
      <c r="G26" s="54"/>
      <c r="H26" s="54">
        <v>0</v>
      </c>
      <c r="I26" s="54"/>
      <c r="J26" s="86">
        <f>SUM(F26:H26)</f>
        <v>-12751399</v>
      </c>
      <c r="K26" s="53"/>
      <c r="O26"/>
      <c r="P26"/>
      <c r="Q26"/>
    </row>
    <row r="27" spans="2:17" s="49" customFormat="1" x14ac:dyDescent="0.25">
      <c r="B27" s="59" t="s">
        <v>106</v>
      </c>
      <c r="C27" s="61"/>
      <c r="D27" s="55">
        <f>SUM(D24:D26)</f>
        <v>-17500782</v>
      </c>
      <c r="E27" s="54"/>
      <c r="F27" s="55">
        <f>SUM(F24:F26)</f>
        <v>-91815745</v>
      </c>
      <c r="G27" s="54"/>
      <c r="H27" s="55">
        <f>SUM(H24:H26)</f>
        <v>-24019690</v>
      </c>
      <c r="I27" s="54"/>
      <c r="J27" s="88">
        <f>SUM(J24:J26)</f>
        <v>-115835435</v>
      </c>
      <c r="K27" s="53"/>
      <c r="O27"/>
      <c r="P27"/>
      <c r="Q27"/>
    </row>
    <row r="28" spans="2:17" s="49" customFormat="1" x14ac:dyDescent="0.25">
      <c r="D28" s="54"/>
      <c r="E28" s="54"/>
      <c r="F28" s="54"/>
      <c r="G28" s="54"/>
      <c r="H28" s="54"/>
      <c r="I28" s="54"/>
      <c r="J28" s="86"/>
      <c r="K28" s="53"/>
      <c r="O28"/>
      <c r="P28"/>
      <c r="Q28"/>
    </row>
    <row r="29" spans="2:17" s="49" customFormat="1" ht="15.75" thickBot="1" x14ac:dyDescent="0.3">
      <c r="B29" s="73" t="s">
        <v>38</v>
      </c>
      <c r="C29" s="73"/>
      <c r="D29" s="51">
        <f>D9+D21+D27</f>
        <v>425461981</v>
      </c>
      <c r="E29" s="52"/>
      <c r="F29" s="51">
        <f>F9+F21+F27</f>
        <v>425461981</v>
      </c>
      <c r="G29" s="52"/>
      <c r="H29" s="51">
        <f>H9+H21+H27</f>
        <v>288610909</v>
      </c>
      <c r="I29" s="52"/>
      <c r="J29" s="89">
        <f>J9+J21+J27</f>
        <v>425461981</v>
      </c>
      <c r="O29"/>
      <c r="P29"/>
      <c r="Q29"/>
    </row>
    <row r="30" spans="2:17" s="49" customFormat="1" x14ac:dyDescent="0.25">
      <c r="D30" s="50"/>
      <c r="E30" s="50"/>
      <c r="F30" s="50"/>
      <c r="G30" s="50"/>
      <c r="H30" s="50"/>
      <c r="I30" s="50"/>
      <c r="J30" s="90"/>
      <c r="O30"/>
      <c r="P30"/>
      <c r="Q30"/>
    </row>
    <row r="31" spans="2:17" s="49" customFormat="1" x14ac:dyDescent="0.25">
      <c r="O31"/>
    </row>
    <row r="32" spans="2:17" x14ac:dyDescent="0.25">
      <c r="B32" s="48"/>
      <c r="C32" s="48"/>
    </row>
    <row r="33" spans="2:10" x14ac:dyDescent="0.25">
      <c r="B33" s="48"/>
      <c r="C33" s="48"/>
    </row>
    <row r="38" spans="2:10" x14ac:dyDescent="0.25">
      <c r="J38" s="96">
        <f>J29-F29+J29-D29</f>
        <v>0</v>
      </c>
    </row>
  </sheetData>
  <mergeCells count="3">
    <mergeCell ref="B2:J2"/>
    <mergeCell ref="D5:F5"/>
    <mergeCell ref="B3:J3"/>
  </mergeCells>
  <conditionalFormatting sqref="J38">
    <cfRule type="cellIs" dxfId="1" priority="1" operator="notEqual">
      <formula>0</formula>
    </cfRule>
  </conditionalFormatting>
  <hyperlinks>
    <hyperlink ref="B24" r:id="rId1" xr:uid="{73BAE88A-9C89-4914-9466-5E96B174E2CD}"/>
  </hyperlinks>
  <pageMargins left="0.7" right="0.7" top="0.75" bottom="0.75" header="0.3" footer="0.3"/>
  <pageSetup scale="84"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Q34"/>
  <sheetViews>
    <sheetView showGridLines="0" workbookViewId="0">
      <selection activeCell="P17" sqref="P17"/>
    </sheetView>
  </sheetViews>
  <sheetFormatPr defaultRowHeight="15" x14ac:dyDescent="0.25"/>
  <cols>
    <col min="2" max="2" width="32" customWidth="1"/>
    <col min="3" max="3" width="3" bestFit="1" customWidth="1"/>
    <col min="4" max="4" width="13.28515625" customWidth="1"/>
    <col min="5" max="5" width="1.140625" customWidth="1"/>
    <col min="6" max="6" width="14.7109375" bestFit="1" customWidth="1"/>
    <col min="7" max="7" width="3.85546875" customWidth="1"/>
    <col min="8" max="8" width="17.7109375" bestFit="1" customWidth="1"/>
    <col min="9" max="9" width="3.5703125" customWidth="1"/>
    <col min="10" max="10" width="16" bestFit="1" customWidth="1"/>
    <col min="17" max="17" width="9.85546875" bestFit="1" customWidth="1"/>
  </cols>
  <sheetData>
    <row r="2" spans="2:17" ht="23.25" x14ac:dyDescent="0.35">
      <c r="B2" s="102" t="s">
        <v>22</v>
      </c>
      <c r="C2" s="102"/>
      <c r="D2" s="102"/>
      <c r="E2" s="102"/>
      <c r="F2" s="102"/>
      <c r="G2" s="102"/>
      <c r="H2" s="102"/>
      <c r="I2" s="102"/>
      <c r="J2" s="102"/>
    </row>
    <row r="3" spans="2:17" ht="23.25" x14ac:dyDescent="0.35">
      <c r="B3" s="104" t="str">
        <f>"through the month of "&amp;TEXT(Date!B1,"mmmm yyyy")</f>
        <v>through the month of January 2019</v>
      </c>
      <c r="C3" s="104"/>
      <c r="D3" s="104"/>
      <c r="E3" s="104"/>
      <c r="F3" s="104"/>
      <c r="G3" s="104"/>
      <c r="H3" s="104"/>
      <c r="I3" s="104"/>
      <c r="J3" s="104"/>
    </row>
    <row r="4" spans="2:17" s="49" customFormat="1" x14ac:dyDescent="0.25">
      <c r="J4" s="81"/>
    </row>
    <row r="5" spans="2:17" s="49" customFormat="1" x14ac:dyDescent="0.25">
      <c r="D5" s="103" t="s">
        <v>37</v>
      </c>
      <c r="E5" s="103"/>
      <c r="F5" s="103"/>
      <c r="G5" s="65"/>
      <c r="H5" s="67" t="s">
        <v>46</v>
      </c>
      <c r="J5" s="78" t="s">
        <v>45</v>
      </c>
    </row>
    <row r="6" spans="2:17" s="49" customFormat="1" x14ac:dyDescent="0.25">
      <c r="D6" s="74" t="s">
        <v>44</v>
      </c>
      <c r="E6" s="74"/>
      <c r="F6" s="74" t="s">
        <v>43</v>
      </c>
      <c r="G6" s="74"/>
      <c r="H6" s="74" t="s">
        <v>42</v>
      </c>
      <c r="I6" s="48"/>
      <c r="J6" s="78" t="s">
        <v>41</v>
      </c>
    </row>
    <row r="7" spans="2:17" s="49" customFormat="1" ht="17.25" x14ac:dyDescent="0.25">
      <c r="D7" s="75" t="str">
        <f>IMTFWeb!D7</f>
        <v>of January</v>
      </c>
      <c r="E7" s="74"/>
      <c r="F7" s="75" t="str">
        <f>IMTFWeb!F7</f>
        <v>Year to Date</v>
      </c>
      <c r="G7" s="74"/>
      <c r="H7" s="75" t="s">
        <v>40</v>
      </c>
      <c r="I7" s="48"/>
      <c r="J7" s="82" t="s">
        <v>119</v>
      </c>
    </row>
    <row r="8" spans="2:17" s="49" customFormat="1" x14ac:dyDescent="0.25">
      <c r="D8" s="64"/>
      <c r="E8" s="65"/>
      <c r="F8" s="64"/>
      <c r="G8" s="65"/>
      <c r="H8" s="64"/>
      <c r="J8" s="83"/>
    </row>
    <row r="9" spans="2:17" s="49" customFormat="1" x14ac:dyDescent="0.25">
      <c r="B9" s="73" t="s">
        <v>39</v>
      </c>
      <c r="C9" s="73"/>
      <c r="D9" s="63">
        <f>F21-D16-D20</f>
        <v>25872351</v>
      </c>
      <c r="E9" s="63"/>
      <c r="F9" s="63">
        <f>H21</f>
        <v>16507090</v>
      </c>
      <c r="G9" s="63"/>
      <c r="H9" s="63">
        <v>0</v>
      </c>
      <c r="I9" s="63"/>
      <c r="J9" s="84">
        <v>0</v>
      </c>
    </row>
    <row r="10" spans="2:17" s="49" customFormat="1" x14ac:dyDescent="0.25">
      <c r="B10" s="48"/>
      <c r="C10" s="48"/>
      <c r="D10" s="62"/>
      <c r="E10" s="54"/>
      <c r="F10" s="62"/>
      <c r="G10" s="54"/>
      <c r="H10" s="62"/>
      <c r="I10" s="54"/>
      <c r="J10" s="85"/>
    </row>
    <row r="11" spans="2:17" s="49" customFormat="1" x14ac:dyDescent="0.25">
      <c r="B11" s="56" t="s">
        <v>0</v>
      </c>
      <c r="C11" s="56"/>
      <c r="D11" s="54"/>
      <c r="E11" s="54"/>
      <c r="F11" s="54"/>
      <c r="G11" s="54"/>
      <c r="H11" s="54"/>
      <c r="I11" s="54"/>
      <c r="J11" s="86"/>
      <c r="K11" s="53"/>
    </row>
    <row r="12" spans="2:17" s="49" customFormat="1" x14ac:dyDescent="0.25">
      <c r="B12" s="61" t="s">
        <v>27</v>
      </c>
      <c r="C12" s="61"/>
      <c r="D12" s="54">
        <v>1376250</v>
      </c>
      <c r="E12" s="54"/>
      <c r="F12" s="54">
        <f>'Safety Maint Acct Monthly'!H36</f>
        <v>10603250</v>
      </c>
      <c r="G12" s="54"/>
      <c r="H12" s="54">
        <v>16456211</v>
      </c>
      <c r="I12" s="54"/>
      <c r="J12" s="86">
        <f>SUM(F12:H12)</f>
        <v>27059461</v>
      </c>
      <c r="K12" s="53"/>
      <c r="Q12" s="50"/>
    </row>
    <row r="13" spans="2:17" s="49" customFormat="1" x14ac:dyDescent="0.25">
      <c r="B13" s="60" t="s">
        <v>28</v>
      </c>
      <c r="C13" s="60"/>
      <c r="D13" s="54"/>
      <c r="E13" s="54"/>
      <c r="F13" s="54"/>
      <c r="G13" s="54"/>
      <c r="H13" s="54"/>
      <c r="I13" s="54"/>
      <c r="J13" s="86"/>
      <c r="K13" s="53"/>
      <c r="Q13" s="50"/>
    </row>
    <row r="14" spans="2:17" s="49" customFormat="1" x14ac:dyDescent="0.25">
      <c r="B14" s="59" t="s">
        <v>29</v>
      </c>
      <c r="C14" s="59"/>
      <c r="D14" s="54">
        <v>29920</v>
      </c>
      <c r="E14" s="54"/>
      <c r="F14" s="54">
        <f>'Safety Maint Acct Monthly'!H40</f>
        <v>168181</v>
      </c>
      <c r="G14" s="54"/>
      <c r="H14" s="54">
        <v>50879</v>
      </c>
      <c r="I14" s="54"/>
      <c r="J14" s="86">
        <f>SUM(F14:H14)</f>
        <v>219060</v>
      </c>
      <c r="K14" s="53"/>
      <c r="Q14" s="50"/>
    </row>
    <row r="15" spans="2:17" s="49" customFormat="1" x14ac:dyDescent="0.25">
      <c r="B15" s="61" t="s">
        <v>118</v>
      </c>
      <c r="C15" s="61"/>
      <c r="D15" s="54">
        <v>12751399</v>
      </c>
      <c r="E15" s="54"/>
      <c r="F15" s="54">
        <f>'Safety Maint Acct Monthly'!H44</f>
        <v>12751399</v>
      </c>
      <c r="G15" s="54"/>
      <c r="H15" s="54">
        <v>0</v>
      </c>
      <c r="I15" s="54"/>
      <c r="J15" s="86">
        <f>SUM(F15:H15)</f>
        <v>12751399</v>
      </c>
      <c r="K15" s="53"/>
      <c r="Q15" s="50"/>
    </row>
    <row r="16" spans="2:17" s="49" customFormat="1" x14ac:dyDescent="0.25">
      <c r="B16" s="58" t="s">
        <v>18</v>
      </c>
      <c r="C16" s="58"/>
      <c r="D16" s="57">
        <f>SUM(D12:D15)</f>
        <v>14157569</v>
      </c>
      <c r="E16" s="54"/>
      <c r="F16" s="57">
        <f>SUM(F12:F15)</f>
        <v>23522830</v>
      </c>
      <c r="G16" s="54"/>
      <c r="H16" s="57">
        <f>SUM(H12:H15)</f>
        <v>16507090</v>
      </c>
      <c r="I16" s="54"/>
      <c r="J16" s="87">
        <f>SUM(J12:J15)</f>
        <v>40029920</v>
      </c>
      <c r="K16" s="53"/>
      <c r="Q16" s="50"/>
    </row>
    <row r="17" spans="2:17" s="49" customFormat="1" x14ac:dyDescent="0.25">
      <c r="D17" s="54"/>
      <c r="E17" s="54"/>
      <c r="F17" s="54"/>
      <c r="G17" s="54"/>
      <c r="H17" s="54"/>
      <c r="I17" s="54"/>
      <c r="J17" s="86"/>
      <c r="K17" s="53"/>
      <c r="Q17" s="50"/>
    </row>
    <row r="18" spans="2:17" s="49" customFormat="1" x14ac:dyDescent="0.25">
      <c r="B18" s="56" t="s">
        <v>1</v>
      </c>
      <c r="C18" s="56"/>
      <c r="D18" s="54"/>
      <c r="E18" s="54"/>
      <c r="F18" s="54"/>
      <c r="G18" s="54"/>
      <c r="H18" s="54"/>
      <c r="I18" s="54"/>
      <c r="J18" s="86"/>
      <c r="K18" s="53"/>
      <c r="Q18" s="50"/>
    </row>
    <row r="19" spans="2:17" s="49" customFormat="1" ht="17.25" x14ac:dyDescent="0.25">
      <c r="B19" s="60" t="s">
        <v>115</v>
      </c>
      <c r="C19" s="60"/>
      <c r="D19" s="54"/>
      <c r="E19" s="54"/>
      <c r="F19" s="54"/>
      <c r="G19" s="54"/>
      <c r="H19" s="54"/>
      <c r="I19" s="54"/>
      <c r="J19" s="86"/>
      <c r="K19" s="53"/>
      <c r="Q19" s="50"/>
    </row>
    <row r="20" spans="2:17" s="49" customFormat="1" ht="17.25" x14ac:dyDescent="0.25">
      <c r="B20" s="59" t="s">
        <v>117</v>
      </c>
      <c r="C20" s="101" t="s">
        <v>121</v>
      </c>
      <c r="D20" s="54">
        <v>-40000000</v>
      </c>
      <c r="E20" s="54"/>
      <c r="F20" s="54">
        <v>-40000000</v>
      </c>
      <c r="G20" s="54"/>
      <c r="H20" s="54">
        <v>0</v>
      </c>
      <c r="I20" s="54"/>
      <c r="J20" s="86">
        <f>SUM(F20:H20)</f>
        <v>-40000000</v>
      </c>
      <c r="K20" s="53"/>
      <c r="Q20" s="50"/>
    </row>
    <row r="21" spans="2:17" s="49" customFormat="1" ht="23.25" customHeight="1" thickBot="1" x14ac:dyDescent="0.3">
      <c r="B21" s="73" t="s">
        <v>38</v>
      </c>
      <c r="C21" s="73"/>
      <c r="D21" s="51">
        <f>D9+D16+D20</f>
        <v>29920</v>
      </c>
      <c r="E21" s="52"/>
      <c r="F21" s="51">
        <f>F9+F16+F20</f>
        <v>29920</v>
      </c>
      <c r="G21" s="52"/>
      <c r="H21" s="51">
        <f>H9+H16-H20</f>
        <v>16507090</v>
      </c>
      <c r="I21" s="52"/>
      <c r="J21" s="89">
        <f>J9+J16+J20</f>
        <v>29920</v>
      </c>
    </row>
    <row r="22" spans="2:17" s="49" customFormat="1" x14ac:dyDescent="0.25">
      <c r="D22" s="50"/>
      <c r="E22" s="50"/>
      <c r="F22" s="50"/>
      <c r="G22" s="50"/>
      <c r="H22" s="50"/>
      <c r="I22" s="50"/>
      <c r="J22" s="81"/>
    </row>
    <row r="23" spans="2:17" s="49" customFormat="1" x14ac:dyDescent="0.25"/>
    <row r="24" spans="2:17" x14ac:dyDescent="0.25">
      <c r="B24" s="48"/>
      <c r="C24" s="48"/>
    </row>
    <row r="25" spans="2:17" x14ac:dyDescent="0.25">
      <c r="B25" s="48"/>
      <c r="C25" s="48"/>
    </row>
    <row r="26" spans="2:17" x14ac:dyDescent="0.25">
      <c r="B26" s="48"/>
      <c r="C26" s="48"/>
    </row>
    <row r="27" spans="2:17" x14ac:dyDescent="0.25">
      <c r="B27" s="48"/>
      <c r="C27" s="48"/>
    </row>
    <row r="28" spans="2:17" x14ac:dyDescent="0.25">
      <c r="B28" s="48"/>
      <c r="C28" s="48"/>
    </row>
    <row r="29" spans="2:17" x14ac:dyDescent="0.25">
      <c r="B29" s="48"/>
      <c r="C29" s="48"/>
    </row>
    <row r="34" spans="10:10" x14ac:dyDescent="0.25">
      <c r="J34" s="96">
        <f>J21-F21+J21-D21</f>
        <v>0</v>
      </c>
    </row>
  </sheetData>
  <mergeCells count="3">
    <mergeCell ref="B2:J2"/>
    <mergeCell ref="D5:F5"/>
    <mergeCell ref="B3:J3"/>
  </mergeCells>
  <conditionalFormatting sqref="J34">
    <cfRule type="cellIs" dxfId="0" priority="1" operator="notEqual">
      <formula>0</formula>
    </cfRule>
  </conditionalFormatting>
  <pageMargins left="0.7" right="0.7" top="0.75" bottom="0.75" header="0.3" footer="0.3"/>
  <pageSetup scale="8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2:G78"/>
  <sheetViews>
    <sheetView showGridLines="0" topLeftCell="A16" workbookViewId="0">
      <selection activeCell="K34" sqref="K34"/>
    </sheetView>
  </sheetViews>
  <sheetFormatPr defaultRowHeight="15" x14ac:dyDescent="0.25"/>
  <cols>
    <col min="1" max="1" width="19" customWidth="1"/>
    <col min="2" max="2" width="2.7109375" customWidth="1"/>
    <col min="3" max="3" width="16.140625" customWidth="1"/>
    <col min="4" max="4" width="2.42578125" customWidth="1"/>
    <col min="5" max="5" width="15.140625" customWidth="1"/>
    <col min="6" max="6" width="1.7109375" customWidth="1"/>
    <col min="7" max="7" width="15.85546875" customWidth="1"/>
  </cols>
  <sheetData>
    <row r="2" spans="1:7" ht="18.75" x14ac:dyDescent="0.3">
      <c r="A2" s="105" t="s">
        <v>47</v>
      </c>
      <c r="B2" s="105"/>
      <c r="C2" s="105"/>
      <c r="D2" s="105"/>
      <c r="E2" s="105"/>
      <c r="F2" s="105"/>
      <c r="G2" s="105"/>
    </row>
    <row r="3" spans="1:7" ht="18.75" x14ac:dyDescent="0.3">
      <c r="A3" s="106" t="s">
        <v>102</v>
      </c>
      <c r="B3" s="106"/>
      <c r="C3" s="106"/>
      <c r="D3" s="106"/>
      <c r="E3" s="106"/>
      <c r="F3" s="106"/>
      <c r="G3" s="106"/>
    </row>
    <row r="4" spans="1:7" ht="11.25" customHeight="1" x14ac:dyDescent="0.3">
      <c r="A4" s="92"/>
      <c r="B4" s="92"/>
      <c r="C4" s="92"/>
      <c r="D4" s="92"/>
      <c r="E4" s="92"/>
      <c r="F4" s="92"/>
      <c r="G4" s="91"/>
    </row>
    <row r="5" spans="1:7" x14ac:dyDescent="0.25">
      <c r="G5" s="78" t="s">
        <v>41</v>
      </c>
    </row>
    <row r="6" spans="1:7" ht="15.75" thickBot="1" x14ac:dyDescent="0.3">
      <c r="A6" s="77" t="s">
        <v>97</v>
      </c>
      <c r="C6" s="77" t="s">
        <v>96</v>
      </c>
      <c r="D6" s="66"/>
      <c r="E6" s="77" t="s">
        <v>95</v>
      </c>
      <c r="F6" s="66"/>
      <c r="G6" s="79" t="s">
        <v>103</v>
      </c>
    </row>
    <row r="7" spans="1:7" hidden="1" x14ac:dyDescent="0.25">
      <c r="A7" t="s">
        <v>94</v>
      </c>
      <c r="C7" s="40">
        <v>0</v>
      </c>
      <c r="D7" s="40"/>
      <c r="E7" s="40">
        <v>0</v>
      </c>
      <c r="F7" s="40"/>
      <c r="G7" s="40">
        <f t="shared" ref="G7:G52" si="0">C7+E7</f>
        <v>0</v>
      </c>
    </row>
    <row r="8" spans="1:7" x14ac:dyDescent="0.25">
      <c r="A8" s="76" t="s">
        <v>93</v>
      </c>
      <c r="C8" s="71">
        <v>0</v>
      </c>
      <c r="D8" s="71"/>
      <c r="E8" s="71">
        <v>179479</v>
      </c>
      <c r="F8" s="71"/>
      <c r="G8" s="93">
        <f t="shared" si="0"/>
        <v>179479</v>
      </c>
    </row>
    <row r="9" spans="1:7" hidden="1" x14ac:dyDescent="0.25">
      <c r="A9" t="s">
        <v>92</v>
      </c>
      <c r="C9" s="40">
        <v>0</v>
      </c>
      <c r="D9" s="40"/>
      <c r="E9" s="40">
        <v>0</v>
      </c>
      <c r="F9" s="40"/>
      <c r="G9" s="40">
        <f t="shared" si="0"/>
        <v>0</v>
      </c>
    </row>
    <row r="10" spans="1:7" x14ac:dyDescent="0.25">
      <c r="A10" s="76" t="s">
        <v>91</v>
      </c>
      <c r="C10" s="40">
        <v>371804</v>
      </c>
      <c r="D10" s="40"/>
      <c r="E10" s="40">
        <v>371055</v>
      </c>
      <c r="F10" s="40"/>
      <c r="G10" s="94">
        <f t="shared" si="0"/>
        <v>742859</v>
      </c>
    </row>
    <row r="11" spans="1:7" hidden="1" x14ac:dyDescent="0.25">
      <c r="A11" t="s">
        <v>90</v>
      </c>
      <c r="C11" s="40">
        <v>0</v>
      </c>
      <c r="D11" s="40"/>
      <c r="E11" s="40">
        <v>0</v>
      </c>
      <c r="F11" s="40"/>
      <c r="G11" s="40">
        <f t="shared" si="0"/>
        <v>0</v>
      </c>
    </row>
    <row r="12" spans="1:7" hidden="1" x14ac:dyDescent="0.25">
      <c r="A12" t="s">
        <v>89</v>
      </c>
      <c r="C12" s="40">
        <v>0</v>
      </c>
      <c r="D12" s="40"/>
      <c r="E12" s="40">
        <v>0</v>
      </c>
      <c r="F12" s="40"/>
      <c r="G12" s="40">
        <f t="shared" si="0"/>
        <v>0</v>
      </c>
    </row>
    <row r="13" spans="1:7" x14ac:dyDescent="0.25">
      <c r="A13" s="76" t="s">
        <v>88</v>
      </c>
      <c r="C13" s="40">
        <v>356567</v>
      </c>
      <c r="D13" s="40"/>
      <c r="E13" s="40">
        <v>330961</v>
      </c>
      <c r="F13" s="40"/>
      <c r="G13" s="94">
        <f t="shared" si="0"/>
        <v>687528</v>
      </c>
    </row>
    <row r="14" spans="1:7" x14ac:dyDescent="0.25">
      <c r="A14" s="76" t="s">
        <v>87</v>
      </c>
      <c r="C14" s="40">
        <v>58936</v>
      </c>
      <c r="D14" s="40"/>
      <c r="E14" s="40">
        <v>0</v>
      </c>
      <c r="F14" s="40"/>
      <c r="G14" s="94">
        <f t="shared" si="0"/>
        <v>58936</v>
      </c>
    </row>
    <row r="15" spans="1:7" hidden="1" x14ac:dyDescent="0.25">
      <c r="A15" t="s">
        <v>86</v>
      </c>
      <c r="C15" s="40">
        <v>0</v>
      </c>
      <c r="D15" s="40"/>
      <c r="E15" s="40">
        <v>0</v>
      </c>
      <c r="F15" s="40"/>
      <c r="G15" s="40">
        <f t="shared" si="0"/>
        <v>0</v>
      </c>
    </row>
    <row r="16" spans="1:7" x14ac:dyDescent="0.25">
      <c r="A16" s="76" t="s">
        <v>85</v>
      </c>
      <c r="C16" s="40">
        <v>3153077</v>
      </c>
      <c r="D16" s="40"/>
      <c r="E16" s="40">
        <v>2660024</v>
      </c>
      <c r="F16" s="40"/>
      <c r="G16" s="94">
        <f t="shared" si="0"/>
        <v>5813101</v>
      </c>
    </row>
    <row r="17" spans="1:7" x14ac:dyDescent="0.25">
      <c r="A17" s="76" t="s">
        <v>84</v>
      </c>
      <c r="C17" s="40">
        <v>298238</v>
      </c>
      <c r="D17" s="40"/>
      <c r="E17" s="40">
        <v>378833</v>
      </c>
      <c r="F17" s="40"/>
      <c r="G17" s="94">
        <f t="shared" si="0"/>
        <v>677071</v>
      </c>
    </row>
    <row r="18" spans="1:7" hidden="1" x14ac:dyDescent="0.25">
      <c r="A18" t="s">
        <v>83</v>
      </c>
      <c r="C18" s="40">
        <v>0</v>
      </c>
      <c r="D18" s="40"/>
      <c r="E18" s="40">
        <v>0</v>
      </c>
      <c r="F18" s="40"/>
      <c r="G18" s="40">
        <f t="shared" si="0"/>
        <v>0</v>
      </c>
    </row>
    <row r="19" spans="1:7" hidden="1" x14ac:dyDescent="0.25">
      <c r="A19" t="s">
        <v>82</v>
      </c>
      <c r="C19" s="40">
        <v>0</v>
      </c>
      <c r="D19" s="40"/>
      <c r="E19" s="40">
        <v>0</v>
      </c>
      <c r="F19" s="40"/>
      <c r="G19" s="40">
        <f t="shared" si="0"/>
        <v>0</v>
      </c>
    </row>
    <row r="20" spans="1:7" hidden="1" x14ac:dyDescent="0.25">
      <c r="A20" t="s">
        <v>81</v>
      </c>
      <c r="C20" s="40">
        <v>0</v>
      </c>
      <c r="D20" s="40"/>
      <c r="E20" s="40">
        <v>0</v>
      </c>
      <c r="F20" s="40"/>
      <c r="G20" s="40">
        <f t="shared" si="0"/>
        <v>0</v>
      </c>
    </row>
    <row r="21" spans="1:7" hidden="1" x14ac:dyDescent="0.25">
      <c r="A21" t="s">
        <v>80</v>
      </c>
      <c r="C21" s="40">
        <v>0</v>
      </c>
      <c r="D21" s="40"/>
      <c r="E21" s="40">
        <v>0</v>
      </c>
      <c r="F21" s="40"/>
      <c r="G21" s="40">
        <f t="shared" si="0"/>
        <v>0</v>
      </c>
    </row>
    <row r="22" spans="1:7" hidden="1" x14ac:dyDescent="0.25">
      <c r="A22" t="s">
        <v>79</v>
      </c>
      <c r="C22" s="40">
        <v>0</v>
      </c>
      <c r="D22" s="40"/>
      <c r="E22" s="40">
        <v>0</v>
      </c>
      <c r="F22" s="40"/>
      <c r="G22" s="40">
        <f t="shared" si="0"/>
        <v>0</v>
      </c>
    </row>
    <row r="23" spans="1:7" x14ac:dyDescent="0.25">
      <c r="A23" s="76" t="s">
        <v>78</v>
      </c>
      <c r="C23" s="40">
        <v>125402</v>
      </c>
      <c r="D23" s="40"/>
      <c r="E23" s="40">
        <v>116953</v>
      </c>
      <c r="F23" s="40"/>
      <c r="G23" s="94">
        <f t="shared" si="0"/>
        <v>242355</v>
      </c>
    </row>
    <row r="24" spans="1:7" x14ac:dyDescent="0.25">
      <c r="A24" s="76" t="s">
        <v>77</v>
      </c>
      <c r="C24" s="40">
        <v>492738</v>
      </c>
      <c r="D24" s="40"/>
      <c r="E24" s="40">
        <v>128163</v>
      </c>
      <c r="F24" s="40"/>
      <c r="G24" s="94">
        <f t="shared" si="0"/>
        <v>620901</v>
      </c>
    </row>
    <row r="25" spans="1:7" hidden="1" x14ac:dyDescent="0.25">
      <c r="A25" t="s">
        <v>76</v>
      </c>
      <c r="C25" s="40">
        <v>0</v>
      </c>
      <c r="D25" s="40"/>
      <c r="E25" s="40">
        <v>0</v>
      </c>
      <c r="F25" s="40"/>
      <c r="G25" s="40">
        <f t="shared" si="0"/>
        <v>0</v>
      </c>
    </row>
    <row r="26" spans="1:7" hidden="1" x14ac:dyDescent="0.25">
      <c r="A26" t="s">
        <v>75</v>
      </c>
      <c r="C26" s="40">
        <v>0</v>
      </c>
      <c r="D26" s="40"/>
      <c r="E26" s="40">
        <v>0</v>
      </c>
      <c r="F26" s="40"/>
      <c r="G26" s="40">
        <f t="shared" si="0"/>
        <v>0</v>
      </c>
    </row>
    <row r="27" spans="1:7" x14ac:dyDescent="0.25">
      <c r="A27" s="76" t="s">
        <v>74</v>
      </c>
      <c r="C27" s="40">
        <v>331156</v>
      </c>
      <c r="D27" s="40"/>
      <c r="E27" s="40">
        <v>487292</v>
      </c>
      <c r="F27" s="40"/>
      <c r="G27" s="94">
        <f t="shared" si="0"/>
        <v>818448</v>
      </c>
    </row>
    <row r="28" spans="1:7" hidden="1" x14ac:dyDescent="0.25">
      <c r="A28" t="s">
        <v>73</v>
      </c>
      <c r="C28" s="40">
        <v>0</v>
      </c>
      <c r="D28" s="40"/>
      <c r="E28" s="40">
        <v>0</v>
      </c>
      <c r="F28" s="40"/>
      <c r="G28" s="40">
        <f t="shared" si="0"/>
        <v>0</v>
      </c>
    </row>
    <row r="29" spans="1:7" x14ac:dyDescent="0.25">
      <c r="A29" s="76" t="s">
        <v>72</v>
      </c>
      <c r="C29" s="40">
        <v>2353341</v>
      </c>
      <c r="D29" s="40"/>
      <c r="E29" s="40">
        <v>2214305</v>
      </c>
      <c r="F29" s="40"/>
      <c r="G29" s="94">
        <f t="shared" si="0"/>
        <v>4567646</v>
      </c>
    </row>
    <row r="30" spans="1:7" x14ac:dyDescent="0.25">
      <c r="A30" s="76" t="s">
        <v>71</v>
      </c>
      <c r="C30" s="40">
        <v>55149</v>
      </c>
      <c r="D30" s="40"/>
      <c r="E30" s="40">
        <v>0</v>
      </c>
      <c r="F30" s="40"/>
      <c r="G30" s="94">
        <f t="shared" si="0"/>
        <v>55149</v>
      </c>
    </row>
    <row r="31" spans="1:7" hidden="1" x14ac:dyDescent="0.25">
      <c r="A31" t="s">
        <v>70</v>
      </c>
      <c r="C31" s="40">
        <v>0</v>
      </c>
      <c r="D31" s="40"/>
      <c r="E31" s="40">
        <v>0</v>
      </c>
      <c r="F31" s="40"/>
      <c r="G31" s="40">
        <f t="shared" si="0"/>
        <v>0</v>
      </c>
    </row>
    <row r="32" spans="1:7" x14ac:dyDescent="0.25">
      <c r="A32" s="76" t="s">
        <v>69</v>
      </c>
      <c r="C32" s="40">
        <v>1852221</v>
      </c>
      <c r="D32" s="40"/>
      <c r="E32" s="40">
        <v>1842566</v>
      </c>
      <c r="F32" s="40"/>
      <c r="G32" s="94">
        <f t="shared" si="0"/>
        <v>3694787</v>
      </c>
    </row>
    <row r="33" spans="1:7" x14ac:dyDescent="0.25">
      <c r="A33" s="76" t="s">
        <v>68</v>
      </c>
      <c r="C33" s="40">
        <v>102847</v>
      </c>
      <c r="D33" s="40"/>
      <c r="E33" s="40">
        <v>0</v>
      </c>
      <c r="F33" s="40"/>
      <c r="G33" s="94">
        <f t="shared" si="0"/>
        <v>102847</v>
      </c>
    </row>
    <row r="34" spans="1:7" hidden="1" x14ac:dyDescent="0.25">
      <c r="A34" t="s">
        <v>67</v>
      </c>
      <c r="C34" s="40">
        <v>0</v>
      </c>
      <c r="D34" s="40"/>
      <c r="E34" s="40">
        <v>0</v>
      </c>
      <c r="F34" s="40"/>
      <c r="G34" s="40">
        <f t="shared" si="0"/>
        <v>0</v>
      </c>
    </row>
    <row r="35" spans="1:7" x14ac:dyDescent="0.25">
      <c r="A35" s="76" t="s">
        <v>66</v>
      </c>
      <c r="C35" s="40">
        <v>182713</v>
      </c>
      <c r="D35" s="40"/>
      <c r="E35" s="40">
        <v>239869</v>
      </c>
      <c r="F35" s="40"/>
      <c r="G35" s="94">
        <f t="shared" si="0"/>
        <v>422582</v>
      </c>
    </row>
    <row r="36" spans="1:7" hidden="1" x14ac:dyDescent="0.25">
      <c r="A36" t="s">
        <v>65</v>
      </c>
      <c r="C36" s="40">
        <v>0</v>
      </c>
      <c r="D36" s="40"/>
      <c r="E36" s="40">
        <v>0</v>
      </c>
      <c r="F36" s="40"/>
      <c r="G36" s="40">
        <f t="shared" si="0"/>
        <v>0</v>
      </c>
    </row>
    <row r="37" spans="1:7" hidden="1" x14ac:dyDescent="0.25">
      <c r="A37" t="s">
        <v>64</v>
      </c>
      <c r="C37" s="40">
        <v>0</v>
      </c>
      <c r="D37" s="40"/>
      <c r="E37" s="40">
        <v>0</v>
      </c>
      <c r="F37" s="40"/>
      <c r="G37" s="40">
        <f t="shared" si="0"/>
        <v>0</v>
      </c>
    </row>
    <row r="38" spans="1:7" x14ac:dyDescent="0.25">
      <c r="A38" s="76" t="s">
        <v>63</v>
      </c>
      <c r="C38" s="40">
        <v>1905245</v>
      </c>
      <c r="D38" s="40"/>
      <c r="E38" s="40">
        <v>1782290</v>
      </c>
      <c r="F38" s="40"/>
      <c r="G38" s="94">
        <f t="shared" si="0"/>
        <v>3687535</v>
      </c>
    </row>
    <row r="39" spans="1:7" hidden="1" x14ac:dyDescent="0.25">
      <c r="A39" t="s">
        <v>62</v>
      </c>
      <c r="C39" s="40">
        <v>0</v>
      </c>
      <c r="D39" s="40"/>
      <c r="E39" s="40">
        <v>0</v>
      </c>
      <c r="F39" s="40"/>
      <c r="G39" s="40">
        <f t="shared" si="0"/>
        <v>0</v>
      </c>
    </row>
    <row r="40" spans="1:7" hidden="1" x14ac:dyDescent="0.25">
      <c r="A40" t="s">
        <v>61</v>
      </c>
      <c r="C40" s="40">
        <v>0</v>
      </c>
      <c r="D40" s="40"/>
      <c r="E40" s="40">
        <v>0</v>
      </c>
      <c r="F40" s="40"/>
      <c r="G40" s="40">
        <f t="shared" si="0"/>
        <v>0</v>
      </c>
    </row>
    <row r="41" spans="1:7" hidden="1" x14ac:dyDescent="0.25">
      <c r="A41" t="s">
        <v>60</v>
      </c>
      <c r="C41" s="40">
        <v>0</v>
      </c>
      <c r="D41" s="40"/>
      <c r="E41" s="40">
        <v>0</v>
      </c>
      <c r="F41" s="40"/>
      <c r="G41" s="40">
        <f t="shared" si="0"/>
        <v>0</v>
      </c>
    </row>
    <row r="42" spans="1:7" hidden="1" x14ac:dyDescent="0.25">
      <c r="A42" t="s">
        <v>59</v>
      </c>
      <c r="C42" s="40">
        <v>0</v>
      </c>
      <c r="D42" s="40"/>
      <c r="E42" s="40">
        <v>0</v>
      </c>
      <c r="F42" s="40"/>
      <c r="G42" s="40">
        <f t="shared" si="0"/>
        <v>0</v>
      </c>
    </row>
    <row r="43" spans="1:7" hidden="1" x14ac:dyDescent="0.25">
      <c r="A43" t="s">
        <v>58</v>
      </c>
      <c r="C43" s="40">
        <v>0</v>
      </c>
      <c r="D43" s="40"/>
      <c r="E43" s="40">
        <v>0</v>
      </c>
      <c r="F43" s="40"/>
      <c r="G43" s="40">
        <f t="shared" si="0"/>
        <v>0</v>
      </c>
    </row>
    <row r="44" spans="1:7" hidden="1" x14ac:dyDescent="0.25">
      <c r="A44" t="s">
        <v>57</v>
      </c>
      <c r="C44" s="40">
        <v>0</v>
      </c>
      <c r="D44" s="40"/>
      <c r="E44" s="40">
        <v>0</v>
      </c>
      <c r="F44" s="40"/>
      <c r="G44" s="40">
        <f t="shared" si="0"/>
        <v>0</v>
      </c>
    </row>
    <row r="45" spans="1:7" hidden="1" x14ac:dyDescent="0.25">
      <c r="A45" t="s">
        <v>56</v>
      </c>
      <c r="C45" s="40">
        <v>0</v>
      </c>
      <c r="D45" s="40"/>
      <c r="E45" s="40">
        <v>0</v>
      </c>
      <c r="F45" s="40"/>
      <c r="G45" s="40">
        <f t="shared" si="0"/>
        <v>0</v>
      </c>
    </row>
    <row r="46" spans="1:7" x14ac:dyDescent="0.25">
      <c r="A46" s="76" t="s">
        <v>55</v>
      </c>
      <c r="C46" s="40">
        <v>1308462</v>
      </c>
      <c r="D46" s="40"/>
      <c r="E46" s="40">
        <v>1170799</v>
      </c>
      <c r="F46" s="40"/>
      <c r="G46" s="94">
        <f t="shared" si="0"/>
        <v>2479261</v>
      </c>
    </row>
    <row r="47" spans="1:7" hidden="1" x14ac:dyDescent="0.25">
      <c r="A47" t="s">
        <v>54</v>
      </c>
      <c r="C47" s="40">
        <v>0</v>
      </c>
      <c r="D47" s="40"/>
      <c r="E47" s="40">
        <v>0</v>
      </c>
      <c r="F47" s="40"/>
      <c r="G47" s="40">
        <f t="shared" si="0"/>
        <v>0</v>
      </c>
    </row>
    <row r="48" spans="1:7" x14ac:dyDescent="0.25">
      <c r="A48" s="76" t="s">
        <v>53</v>
      </c>
      <c r="C48" s="40">
        <v>1543839</v>
      </c>
      <c r="D48" s="40"/>
      <c r="E48" s="40">
        <v>1558050</v>
      </c>
      <c r="F48" s="40"/>
      <c r="G48" s="94">
        <f t="shared" si="0"/>
        <v>3101889</v>
      </c>
    </row>
    <row r="49" spans="1:7" hidden="1" x14ac:dyDescent="0.25">
      <c r="A49" t="s">
        <v>52</v>
      </c>
      <c r="C49" s="40">
        <v>0</v>
      </c>
      <c r="D49" s="40"/>
      <c r="E49" s="40">
        <v>0</v>
      </c>
      <c r="F49" s="40"/>
      <c r="G49" s="40">
        <f t="shared" si="0"/>
        <v>0</v>
      </c>
    </row>
    <row r="50" spans="1:7" hidden="1" x14ac:dyDescent="0.25">
      <c r="A50" t="s">
        <v>51</v>
      </c>
      <c r="C50" s="40">
        <v>0</v>
      </c>
      <c r="D50" s="40"/>
      <c r="E50" s="40">
        <v>0</v>
      </c>
      <c r="F50" s="40"/>
      <c r="G50" s="40">
        <f t="shared" si="0"/>
        <v>0</v>
      </c>
    </row>
    <row r="51" spans="1:7" hidden="1" x14ac:dyDescent="0.25">
      <c r="A51" t="s">
        <v>50</v>
      </c>
      <c r="C51" s="40">
        <v>0</v>
      </c>
      <c r="D51" s="40"/>
      <c r="E51" s="40">
        <v>0</v>
      </c>
      <c r="F51" s="40"/>
      <c r="G51" s="40">
        <f t="shared" si="0"/>
        <v>0</v>
      </c>
    </row>
    <row r="52" spans="1:7" x14ac:dyDescent="0.25">
      <c r="A52" s="76" t="s">
        <v>49</v>
      </c>
      <c r="C52" s="40">
        <v>3129027</v>
      </c>
      <c r="D52" s="40"/>
      <c r="E52" s="40">
        <v>3562074</v>
      </c>
      <c r="F52" s="40"/>
      <c r="G52" s="94">
        <f t="shared" si="0"/>
        <v>6691101</v>
      </c>
    </row>
    <row r="53" spans="1:7" ht="15.75" thickBot="1" x14ac:dyDescent="0.3">
      <c r="A53" s="76" t="s">
        <v>109</v>
      </c>
      <c r="C53" s="70">
        <f>SUM(C7:C52)</f>
        <v>17620762</v>
      </c>
      <c r="D53" s="40"/>
      <c r="E53" s="70">
        <f>SUM(E7:E52)</f>
        <v>17022713</v>
      </c>
      <c r="F53" s="40"/>
      <c r="G53" s="95">
        <f>SUM(G7:G52)</f>
        <v>34643475</v>
      </c>
    </row>
    <row r="54" spans="1:7" x14ac:dyDescent="0.25">
      <c r="C54" s="40"/>
      <c r="D54" s="40"/>
      <c r="E54" s="40"/>
      <c r="F54" s="40"/>
      <c r="G54" s="80"/>
    </row>
    <row r="55" spans="1:7" x14ac:dyDescent="0.25">
      <c r="C55" s="40"/>
      <c r="D55" s="40"/>
      <c r="E55" s="40"/>
      <c r="F55" s="40"/>
      <c r="G55" s="72" t="s">
        <v>98</v>
      </c>
    </row>
    <row r="57" spans="1:7" x14ac:dyDescent="0.25">
      <c r="A57" s="97" t="s">
        <v>110</v>
      </c>
    </row>
    <row r="77" spans="3:5" x14ac:dyDescent="0.25">
      <c r="C77" s="40">
        <v>17620764.449999999</v>
      </c>
      <c r="E77" s="40">
        <v>17022712.52</v>
      </c>
    </row>
    <row r="78" spans="3:5" x14ac:dyDescent="0.25">
      <c r="C78" s="40">
        <f>C53-C77</f>
        <v>-2</v>
      </c>
      <c r="E78" s="40">
        <f>E53-E77</f>
        <v>0</v>
      </c>
    </row>
  </sheetData>
  <autoFilter ref="A6:G53" xr:uid="{00000000-0009-0000-0000-000003000000}">
    <filterColumn colId="6">
      <filters>
        <filter val="$179,479"/>
        <filter val="$34,643,475"/>
        <filter val="102,847"/>
        <filter val="2,479,261"/>
        <filter val="242,355"/>
        <filter val="3,101,889"/>
        <filter val="3,687,535"/>
        <filter val="3,694,787"/>
        <filter val="4,567,646"/>
        <filter val="422,582"/>
        <filter val="5,813,101"/>
        <filter val="55,149"/>
        <filter val="58,936"/>
        <filter val="6,691,101"/>
        <filter val="620,901"/>
        <filter val="677,071"/>
        <filter val="687,528"/>
        <filter val="742,859"/>
        <filter val="818,448"/>
      </filters>
    </filterColumn>
  </autoFilter>
  <mergeCells count="2">
    <mergeCell ref="A2:G2"/>
    <mergeCell ref="A3:G3"/>
  </mergeCells>
  <pageMargins left="0.45" right="0.2"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J79"/>
  <sheetViews>
    <sheetView showGridLines="0" topLeftCell="A70" zoomScaleNormal="100" workbookViewId="0">
      <selection activeCell="H94" sqref="H94"/>
    </sheetView>
  </sheetViews>
  <sheetFormatPr defaultRowHeight="15" x14ac:dyDescent="0.25"/>
  <cols>
    <col min="1" max="1" width="29.7109375" customWidth="1"/>
    <col min="2" max="2" width="14.42578125" bestFit="1" customWidth="1"/>
    <col min="3" max="3" width="14" customWidth="1"/>
    <col min="4" max="4" width="14.42578125" bestFit="1" customWidth="1"/>
    <col min="5" max="6" width="14" customWidth="1"/>
    <col min="7" max="8" width="14.42578125" bestFit="1" customWidth="1"/>
    <col min="9" max="13" width="10.42578125" customWidth="1"/>
    <col min="14" max="14" width="14.42578125" bestFit="1" customWidth="1"/>
  </cols>
  <sheetData>
    <row r="1" spans="1:8" ht="18.75" x14ac:dyDescent="0.3">
      <c r="A1" s="5" t="s">
        <v>11</v>
      </c>
      <c r="B1" s="2"/>
      <c r="C1" s="2"/>
      <c r="D1" s="2"/>
      <c r="E1" s="2"/>
      <c r="F1" s="2"/>
      <c r="G1" s="2"/>
      <c r="H1" s="2"/>
    </row>
    <row r="2" spans="1:8" ht="10.5" customHeight="1" x14ac:dyDescent="0.3">
      <c r="A2" s="5"/>
      <c r="B2" s="2"/>
      <c r="C2" s="2"/>
      <c r="D2" s="2"/>
      <c r="E2" s="2"/>
      <c r="F2" s="2"/>
      <c r="G2" s="2"/>
      <c r="H2" s="2"/>
    </row>
    <row r="3" spans="1:8" ht="15.75" x14ac:dyDescent="0.25">
      <c r="A3" s="1"/>
      <c r="B3" s="107" t="s">
        <v>37</v>
      </c>
      <c r="C3" s="107"/>
      <c r="D3" s="107"/>
      <c r="E3" s="107"/>
      <c r="F3" s="107"/>
      <c r="G3" s="107"/>
    </row>
    <row r="4" spans="1:8" ht="15.75" x14ac:dyDescent="0.25">
      <c r="A4" s="6"/>
      <c r="B4" s="18">
        <v>42917</v>
      </c>
      <c r="C4" s="18">
        <v>42948</v>
      </c>
      <c r="D4" s="18">
        <v>42979</v>
      </c>
      <c r="E4" s="18">
        <v>43009</v>
      </c>
      <c r="F4" s="18">
        <v>43040</v>
      </c>
      <c r="G4" s="18">
        <v>43070</v>
      </c>
      <c r="H4" s="34" t="s">
        <v>21</v>
      </c>
    </row>
    <row r="5" spans="1:8" ht="15.75" x14ac:dyDescent="0.25">
      <c r="A5" s="8" t="s">
        <v>3</v>
      </c>
      <c r="B5" s="28">
        <v>288610909</v>
      </c>
      <c r="C5" s="28">
        <f t="shared" ref="C5:G5" si="0">IF(C30=0,0,B38)</f>
        <v>293511027</v>
      </c>
      <c r="D5" s="28">
        <f t="shared" si="0"/>
        <v>306919507</v>
      </c>
      <c r="E5" s="28">
        <f t="shared" si="0"/>
        <v>338590529</v>
      </c>
      <c r="F5" s="28">
        <f t="shared" si="0"/>
        <v>360988194</v>
      </c>
      <c r="G5" s="28">
        <f t="shared" si="0"/>
        <v>383835920</v>
      </c>
    </row>
    <row r="6" spans="1:8" ht="15.75" x14ac:dyDescent="0.25">
      <c r="A6" s="2"/>
      <c r="B6" s="10"/>
      <c r="C6" s="10"/>
      <c r="D6" s="10"/>
      <c r="E6" s="10"/>
      <c r="F6" s="10"/>
      <c r="G6" s="10"/>
    </row>
    <row r="7" spans="1:8" ht="15.75" x14ac:dyDescent="0.25">
      <c r="A7" s="4" t="s">
        <v>0</v>
      </c>
      <c r="B7" s="10"/>
      <c r="C7" s="10"/>
      <c r="D7" s="10"/>
      <c r="E7" s="10"/>
      <c r="F7" s="10"/>
      <c r="G7" s="10"/>
    </row>
    <row r="8" spans="1:8" ht="15.75" x14ac:dyDescent="0.25">
      <c r="A8" s="31" t="s">
        <v>25</v>
      </c>
      <c r="B8" s="10"/>
      <c r="C8" s="10"/>
      <c r="D8" s="10"/>
      <c r="E8" s="10"/>
      <c r="F8" s="10"/>
      <c r="G8" s="10"/>
    </row>
    <row r="9" spans="1:8" ht="15.75" x14ac:dyDescent="0.25">
      <c r="A9" s="38" t="s">
        <v>24</v>
      </c>
      <c r="B9" s="10"/>
      <c r="C9" s="10"/>
      <c r="D9" s="10"/>
      <c r="E9" s="10"/>
      <c r="F9" s="10"/>
      <c r="G9" s="10"/>
    </row>
    <row r="10" spans="1:8" ht="15.75" x14ac:dyDescent="0.25">
      <c r="A10" s="7" t="s">
        <v>4</v>
      </c>
      <c r="B10" s="10"/>
      <c r="C10" s="10"/>
      <c r="D10" s="10"/>
      <c r="E10" s="10"/>
      <c r="F10" s="10"/>
      <c r="G10" s="10"/>
    </row>
    <row r="11" spans="1:8" ht="15.75" x14ac:dyDescent="0.25">
      <c r="A11" s="3" t="s">
        <v>5</v>
      </c>
      <c r="B11" s="10">
        <v>0</v>
      </c>
      <c r="C11" s="10">
        <v>22043580</v>
      </c>
      <c r="D11" s="10">
        <f>45589793-C11</f>
        <v>23546213</v>
      </c>
      <c r="E11" s="10">
        <f>65286628-SUM($B11:D11)</f>
        <v>19696835</v>
      </c>
      <c r="F11" s="10">
        <f>86356230-SUM($B11:E11)</f>
        <v>21069602</v>
      </c>
      <c r="G11" s="10">
        <f>106362941-SUM($B11:F11)</f>
        <v>20006711</v>
      </c>
    </row>
    <row r="12" spans="1:8" s="39" customFormat="1" ht="15.75" x14ac:dyDescent="0.25">
      <c r="A12" s="9" t="s">
        <v>23</v>
      </c>
      <c r="B12" s="29">
        <v>0</v>
      </c>
      <c r="C12" s="29">
        <v>102042</v>
      </c>
      <c r="D12" s="10">
        <f>242012-C12</f>
        <v>139970</v>
      </c>
      <c r="E12" s="10">
        <f>308375-SUM($B12:D12)</f>
        <v>66363</v>
      </c>
      <c r="F12" s="10">
        <f>446104-SUM($B12:E12)</f>
        <v>137729</v>
      </c>
      <c r="G12" s="10">
        <f>552654-SUM($B12:F12)</f>
        <v>106550</v>
      </c>
    </row>
    <row r="13" spans="1:8" ht="15.75" x14ac:dyDescent="0.25">
      <c r="A13" s="7" t="s">
        <v>13</v>
      </c>
      <c r="B13" s="10"/>
      <c r="C13" s="10"/>
      <c r="D13" s="10"/>
      <c r="E13" s="10"/>
      <c r="F13" s="10"/>
      <c r="G13" s="10"/>
    </row>
    <row r="14" spans="1:8" ht="15.75" x14ac:dyDescent="0.25">
      <c r="A14" s="3" t="s">
        <v>14</v>
      </c>
      <c r="B14" s="10">
        <v>0</v>
      </c>
      <c r="C14" s="10">
        <v>142340</v>
      </c>
      <c r="D14" s="10">
        <f>315510-C14</f>
        <v>173170</v>
      </c>
      <c r="E14" s="10">
        <f>411450-SUM($B14:D14)</f>
        <v>95940</v>
      </c>
      <c r="F14" s="10">
        <f>579480-SUM($B14:E14)</f>
        <v>168030</v>
      </c>
      <c r="G14" s="10">
        <f>693750-SUM($B14:F14)</f>
        <v>114270</v>
      </c>
    </row>
    <row r="15" spans="1:8" ht="15.75" x14ac:dyDescent="0.25">
      <c r="A15" s="9" t="s">
        <v>36</v>
      </c>
      <c r="B15" s="10">
        <v>0</v>
      </c>
      <c r="C15" s="10">
        <v>2873018</v>
      </c>
      <c r="D15" s="10">
        <f>6340639-C15</f>
        <v>3467621</v>
      </c>
      <c r="E15" s="10">
        <f>8758039-SUM($B15:D15)</f>
        <v>2417400</v>
      </c>
      <c r="F15" s="10">
        <f>12340767-SUM($B15:E15)</f>
        <v>3582728</v>
      </c>
      <c r="G15" s="10">
        <f>14739609-SUM($B15:F15)</f>
        <v>2398842</v>
      </c>
    </row>
    <row r="16" spans="1:8" ht="15.75" x14ac:dyDescent="0.25">
      <c r="A16" s="9"/>
      <c r="B16" s="10"/>
      <c r="C16" s="10"/>
      <c r="D16" s="10"/>
      <c r="E16" s="10"/>
      <c r="F16" s="10"/>
      <c r="G16" s="10"/>
    </row>
    <row r="17" spans="1:7" ht="15.75" x14ac:dyDescent="0.25">
      <c r="A17" s="31" t="s">
        <v>25</v>
      </c>
      <c r="B17" s="10"/>
      <c r="C17" s="10"/>
      <c r="D17" s="10"/>
      <c r="E17" s="10"/>
      <c r="F17" s="10"/>
      <c r="G17" s="10"/>
    </row>
    <row r="18" spans="1:7" ht="15.75" x14ac:dyDescent="0.25">
      <c r="A18" s="38" t="s">
        <v>26</v>
      </c>
      <c r="B18" s="10"/>
      <c r="C18" s="10"/>
      <c r="D18" s="10"/>
      <c r="E18" s="10"/>
      <c r="F18" s="10"/>
      <c r="G18" s="10"/>
    </row>
    <row r="19" spans="1:7" ht="15.75" x14ac:dyDescent="0.25">
      <c r="A19" s="9" t="s">
        <v>35</v>
      </c>
      <c r="B19" s="10">
        <f>11323247-3705192-1201548</f>
        <v>6416507</v>
      </c>
      <c r="C19" s="10">
        <f>23639481-B19-3705192-1201548</f>
        <v>12316234</v>
      </c>
      <c r="D19" s="10">
        <f>32449302-SUM(B19:C19)</f>
        <v>13716561</v>
      </c>
      <c r="E19" s="10">
        <f>44256989-SUM($B19:D19)</f>
        <v>11807687</v>
      </c>
      <c r="F19" s="10">
        <f>57280458-SUM($B19:E19)</f>
        <v>13023469</v>
      </c>
      <c r="G19" s="10">
        <f>67264597-SUM($B19:F19)</f>
        <v>9984139</v>
      </c>
    </row>
    <row r="20" spans="1:7" s="39" customFormat="1" ht="15.75" x14ac:dyDescent="0.25">
      <c r="A20" s="9" t="s">
        <v>23</v>
      </c>
      <c r="B20" s="29">
        <v>207723</v>
      </c>
      <c r="C20" s="29">
        <f>378310-B20</f>
        <v>170587</v>
      </c>
      <c r="D20" s="29">
        <f>508368-SUM(B20:C20)</f>
        <v>130058</v>
      </c>
      <c r="E20" s="10">
        <f>596204-SUM($B20:D20)</f>
        <v>87836</v>
      </c>
      <c r="F20" s="10">
        <f>685184-SUM($B20:E20)</f>
        <v>88980</v>
      </c>
      <c r="G20" s="10">
        <f>761992-SUM($B20:F20)</f>
        <v>76808</v>
      </c>
    </row>
    <row r="21" spans="1:7" s="39" customFormat="1" ht="15.75" x14ac:dyDescent="0.25">
      <c r="A21" s="9"/>
      <c r="B21" s="29"/>
      <c r="C21" s="29"/>
      <c r="D21" s="29"/>
      <c r="E21" s="29"/>
      <c r="F21" s="29"/>
      <c r="G21" s="29"/>
    </row>
    <row r="22" spans="1:7" ht="15.75" x14ac:dyDescent="0.25">
      <c r="A22" s="31" t="s">
        <v>25</v>
      </c>
      <c r="B22" s="10"/>
      <c r="C22" s="10"/>
      <c r="D22" s="10"/>
      <c r="E22" s="10"/>
      <c r="F22" s="10"/>
      <c r="G22" s="10"/>
    </row>
    <row r="23" spans="1:7" ht="15.75" x14ac:dyDescent="0.25">
      <c r="A23" s="38" t="s">
        <v>30</v>
      </c>
      <c r="B23" s="10"/>
      <c r="C23" s="10"/>
      <c r="D23" s="10"/>
      <c r="E23" s="10"/>
      <c r="F23" s="10"/>
      <c r="G23" s="10"/>
    </row>
    <row r="24" spans="1:7" s="39" customFormat="1" ht="15.75" x14ac:dyDescent="0.25">
      <c r="A24" s="9" t="s">
        <v>23</v>
      </c>
      <c r="B24" s="29">
        <v>0</v>
      </c>
      <c r="C24" s="10">
        <v>128566</v>
      </c>
      <c r="D24" s="10">
        <f>231329-C24</f>
        <v>102763</v>
      </c>
      <c r="E24" s="10">
        <f>281170-SUM($B24:D24)</f>
        <v>49841</v>
      </c>
      <c r="F24" s="10">
        <f>281170-SUM($B24:E24)</f>
        <v>0</v>
      </c>
      <c r="G24" s="10">
        <f>379016-SUM($B24:F24)</f>
        <v>97846</v>
      </c>
    </row>
    <row r="25" spans="1:7" ht="15.75" x14ac:dyDescent="0.25">
      <c r="A25" s="9"/>
      <c r="B25" s="10"/>
      <c r="C25" s="10"/>
      <c r="D25" s="10"/>
      <c r="E25" s="10"/>
      <c r="F25" s="10"/>
      <c r="G25" s="10"/>
    </row>
    <row r="26" spans="1:7" ht="15.75" x14ac:dyDescent="0.25">
      <c r="A26" s="31" t="s">
        <v>20</v>
      </c>
      <c r="B26" s="10"/>
      <c r="C26" s="10"/>
      <c r="D26" s="10"/>
      <c r="E26" s="10"/>
      <c r="F26" s="10"/>
      <c r="G26" s="10"/>
    </row>
    <row r="27" spans="1:7" x14ac:dyDescent="0.25">
      <c r="A27" s="7" t="s">
        <v>16</v>
      </c>
      <c r="B27" s="2"/>
      <c r="C27" s="2"/>
      <c r="D27" s="2"/>
      <c r="E27" s="2"/>
      <c r="F27" s="2"/>
      <c r="G27" s="2"/>
    </row>
    <row r="28" spans="1:7" ht="15.75" x14ac:dyDescent="0.25">
      <c r="A28" s="3" t="s">
        <v>17</v>
      </c>
      <c r="B28" s="10">
        <v>77618</v>
      </c>
      <c r="C28" s="10">
        <f>357085-B28</f>
        <v>279467</v>
      </c>
      <c r="D28" s="10">
        <f>602779-SUM(B28:C28)</f>
        <v>245694</v>
      </c>
      <c r="E28" s="10">
        <f>1110818-SUM($B28:D28)</f>
        <v>508039</v>
      </c>
      <c r="F28" s="10">
        <f>1899764-SUM($B28:E28)</f>
        <v>788946</v>
      </c>
      <c r="G28" s="10">
        <f>2312048-SUM($B28:F28)</f>
        <v>412284</v>
      </c>
    </row>
    <row r="29" spans="1:7" ht="15.75" customHeight="1" x14ac:dyDescent="0.25">
      <c r="A29" s="3"/>
      <c r="B29" s="10"/>
      <c r="C29" s="10"/>
      <c r="D29" s="10"/>
      <c r="E29" s="10"/>
      <c r="F29" s="10"/>
      <c r="G29" s="10"/>
    </row>
    <row r="30" spans="1:7" ht="15.75" x14ac:dyDescent="0.25">
      <c r="A30" s="46" t="s">
        <v>18</v>
      </c>
      <c r="B30" s="44">
        <f t="shared" ref="B30:G30" si="1">SUM(B11:B28)</f>
        <v>6701848</v>
      </c>
      <c r="C30" s="44">
        <f t="shared" si="1"/>
        <v>38055834</v>
      </c>
      <c r="D30" s="44">
        <f t="shared" si="1"/>
        <v>41522050</v>
      </c>
      <c r="E30" s="44">
        <f t="shared" si="1"/>
        <v>34729941</v>
      </c>
      <c r="F30" s="44">
        <f t="shared" si="1"/>
        <v>38859484</v>
      </c>
      <c r="G30" s="44">
        <f t="shared" si="1"/>
        <v>33197450</v>
      </c>
    </row>
    <row r="31" spans="1:7" ht="15.75" x14ac:dyDescent="0.25">
      <c r="A31" s="2"/>
      <c r="B31" s="11"/>
      <c r="C31" s="11"/>
      <c r="D31" s="11"/>
      <c r="E31" s="11"/>
      <c r="F31" s="11"/>
      <c r="G31" s="11"/>
    </row>
    <row r="32" spans="1:7" ht="15.75" x14ac:dyDescent="0.25">
      <c r="A32" s="4" t="s">
        <v>1</v>
      </c>
      <c r="B32" s="11"/>
      <c r="C32" s="11"/>
      <c r="D32" s="11"/>
      <c r="E32" s="11"/>
      <c r="F32" s="11"/>
      <c r="G32" s="11"/>
    </row>
    <row r="33" spans="1:10" ht="15.75" x14ac:dyDescent="0.25">
      <c r="A33" s="43" t="s">
        <v>34</v>
      </c>
      <c r="B33" s="11">
        <v>0</v>
      </c>
      <c r="C33" s="11">
        <v>-17620764</v>
      </c>
      <c r="D33" s="11">
        <v>0</v>
      </c>
      <c r="E33" s="11">
        <v>0</v>
      </c>
      <c r="F33" s="11">
        <v>0</v>
      </c>
      <c r="G33" s="11">
        <v>0</v>
      </c>
    </row>
    <row r="34" spans="1:10" ht="15.75" x14ac:dyDescent="0.25">
      <c r="A34" s="43" t="s">
        <v>32</v>
      </c>
      <c r="B34" s="11">
        <v>-1801730</v>
      </c>
      <c r="C34" s="11">
        <f>-8828320-B34</f>
        <v>-7026590</v>
      </c>
      <c r="D34" s="11">
        <f>-18679348-SUM($B34:C34)</f>
        <v>-9851028</v>
      </c>
      <c r="E34" s="11">
        <f>-31011624-SUM($B34:D34)</f>
        <v>-12332276</v>
      </c>
      <c r="F34" s="11">
        <f>-47023382-SUM($B34:E34)</f>
        <v>-16011758</v>
      </c>
      <c r="G34" s="11">
        <f>-56694199-SUM($B34:F34)</f>
        <v>-9670817</v>
      </c>
    </row>
    <row r="35" spans="1:10" ht="15.75" x14ac:dyDescent="0.25">
      <c r="A35" s="43" t="s">
        <v>111</v>
      </c>
      <c r="B35" s="11">
        <v>0</v>
      </c>
      <c r="C35" s="11">
        <v>0</v>
      </c>
      <c r="D35" s="11">
        <v>0</v>
      </c>
      <c r="E35" s="11">
        <v>0</v>
      </c>
      <c r="F35" s="11">
        <v>0</v>
      </c>
      <c r="G35" s="11">
        <v>0</v>
      </c>
    </row>
    <row r="36" spans="1:10" ht="15.75" x14ac:dyDescent="0.25">
      <c r="A36" s="46" t="s">
        <v>33</v>
      </c>
      <c r="B36" s="30">
        <f>SUM(B33:B35)</f>
        <v>-1801730</v>
      </c>
      <c r="C36" s="30">
        <f t="shared" ref="C36:F36" si="2">SUM(C33:C35)</f>
        <v>-24647354</v>
      </c>
      <c r="D36" s="30">
        <f t="shared" si="2"/>
        <v>-9851028</v>
      </c>
      <c r="E36" s="30">
        <f t="shared" si="2"/>
        <v>-12332276</v>
      </c>
      <c r="F36" s="30">
        <f t="shared" si="2"/>
        <v>-16011758</v>
      </c>
      <c r="G36" s="30">
        <f>SUM(G33:G35)</f>
        <v>-9670817</v>
      </c>
    </row>
    <row r="37" spans="1:10" ht="15.75" x14ac:dyDescent="0.25">
      <c r="A37" s="2"/>
      <c r="B37" s="10"/>
      <c r="C37" s="10"/>
      <c r="D37" s="10"/>
      <c r="E37" s="10"/>
      <c r="F37" s="10"/>
      <c r="G37" s="10"/>
    </row>
    <row r="38" spans="1:10" ht="16.5" thickBot="1" x14ac:dyDescent="0.3">
      <c r="A38" s="8" t="s">
        <v>2</v>
      </c>
      <c r="B38" s="14">
        <f t="shared" ref="B38:G38" si="3">B5+B30+B36</f>
        <v>293511027</v>
      </c>
      <c r="C38" s="14">
        <f t="shared" si="3"/>
        <v>306919507</v>
      </c>
      <c r="D38" s="14">
        <f t="shared" si="3"/>
        <v>338590529</v>
      </c>
      <c r="E38" s="14">
        <f t="shared" si="3"/>
        <v>360988194</v>
      </c>
      <c r="F38" s="14">
        <f t="shared" si="3"/>
        <v>383835920</v>
      </c>
      <c r="G38" s="14">
        <f t="shared" si="3"/>
        <v>407362553</v>
      </c>
    </row>
    <row r="39" spans="1:10" ht="15.75" x14ac:dyDescent="0.25">
      <c r="A39" s="8"/>
      <c r="B39" s="37"/>
      <c r="C39" s="37"/>
      <c r="D39" s="37"/>
      <c r="E39" s="37"/>
      <c r="F39" s="37"/>
      <c r="G39" s="37"/>
    </row>
    <row r="40" spans="1:10" x14ac:dyDescent="0.25">
      <c r="A40" s="2"/>
      <c r="B40" s="2"/>
      <c r="C40" s="2"/>
      <c r="D40" s="2"/>
      <c r="E40" s="2"/>
      <c r="F40" s="2"/>
      <c r="G40" s="2"/>
      <c r="I40" s="2"/>
      <c r="J40" s="2"/>
    </row>
    <row r="41" spans="1:10" x14ac:dyDescent="0.25">
      <c r="A41" s="2"/>
      <c r="B41" s="2"/>
      <c r="C41" s="2"/>
      <c r="D41" s="2"/>
      <c r="E41" s="2"/>
      <c r="F41" s="2"/>
      <c r="G41" s="2"/>
      <c r="I41" s="2"/>
      <c r="J41" s="2"/>
    </row>
    <row r="42" spans="1:10" ht="15.75" x14ac:dyDescent="0.25">
      <c r="A42" s="1"/>
      <c r="B42" s="107" t="s">
        <v>37</v>
      </c>
      <c r="C42" s="107"/>
      <c r="D42" s="107"/>
      <c r="E42" s="107"/>
      <c r="F42" s="107"/>
      <c r="G42" s="107"/>
      <c r="H42" s="107"/>
    </row>
    <row r="43" spans="1:10" ht="15.75" x14ac:dyDescent="0.25">
      <c r="A43" s="6"/>
      <c r="B43" s="18">
        <v>43101</v>
      </c>
      <c r="C43" s="18">
        <v>43132</v>
      </c>
      <c r="D43" s="18">
        <v>43160</v>
      </c>
      <c r="E43" s="18">
        <v>43191</v>
      </c>
      <c r="F43" s="18">
        <v>43221</v>
      </c>
      <c r="G43" s="18">
        <v>43252</v>
      </c>
      <c r="H43" s="23" t="s">
        <v>12</v>
      </c>
    </row>
    <row r="44" spans="1:10" ht="15.75" x14ac:dyDescent="0.25">
      <c r="A44" s="8" t="s">
        <v>3</v>
      </c>
      <c r="B44" s="28">
        <f>IF(B69=0,0,G38)</f>
        <v>407362553</v>
      </c>
      <c r="C44" s="28">
        <f>IF(C69=0,0,B77)</f>
        <v>0</v>
      </c>
      <c r="D44" s="28">
        <f>IF(D69=0,0,C77)</f>
        <v>0</v>
      </c>
      <c r="E44" s="28">
        <f>IF(E69=0,0,D77)</f>
        <v>0</v>
      </c>
      <c r="F44" s="28">
        <f>IF(F69=0,0,E77)</f>
        <v>0</v>
      </c>
      <c r="G44" s="28">
        <f>IF(G69=0,0,F77)</f>
        <v>0</v>
      </c>
      <c r="H44" s="24">
        <f>B5</f>
        <v>288610909</v>
      </c>
    </row>
    <row r="45" spans="1:10" ht="15.75" x14ac:dyDescent="0.25">
      <c r="A45" s="2"/>
      <c r="B45" s="10"/>
      <c r="C45" s="10"/>
      <c r="D45" s="10"/>
      <c r="E45" s="10"/>
      <c r="F45" s="10"/>
      <c r="G45" s="10"/>
      <c r="H45" s="16"/>
    </row>
    <row r="46" spans="1:10" ht="15.75" x14ac:dyDescent="0.25">
      <c r="A46" s="4" t="s">
        <v>0</v>
      </c>
      <c r="B46" s="10"/>
      <c r="C46" s="10"/>
      <c r="D46" s="10"/>
      <c r="E46" s="10"/>
      <c r="F46" s="10"/>
      <c r="G46" s="10"/>
      <c r="H46" s="16"/>
    </row>
    <row r="47" spans="1:10" ht="15.75" x14ac:dyDescent="0.25">
      <c r="A47" s="31" t="s">
        <v>25</v>
      </c>
      <c r="B47" s="10"/>
      <c r="C47" s="10"/>
      <c r="D47" s="10"/>
      <c r="E47" s="10"/>
      <c r="F47" s="10"/>
      <c r="G47" s="10"/>
      <c r="H47" s="16"/>
    </row>
    <row r="48" spans="1:10" ht="15.75" x14ac:dyDescent="0.25">
      <c r="A48" s="38" t="s">
        <v>24</v>
      </c>
      <c r="B48" s="10"/>
      <c r="C48" s="10"/>
      <c r="D48" s="10"/>
      <c r="E48" s="10"/>
      <c r="F48" s="10"/>
      <c r="G48" s="10"/>
      <c r="H48" s="16"/>
    </row>
    <row r="49" spans="1:10" ht="15.75" x14ac:dyDescent="0.25">
      <c r="A49" s="7" t="s">
        <v>4</v>
      </c>
      <c r="B49" s="10"/>
      <c r="C49" s="10"/>
      <c r="D49" s="10"/>
      <c r="E49" s="10"/>
      <c r="F49" s="10"/>
      <c r="G49" s="10"/>
      <c r="H49" s="16"/>
    </row>
    <row r="50" spans="1:10" ht="15.75" x14ac:dyDescent="0.25">
      <c r="A50" s="3" t="s">
        <v>5</v>
      </c>
      <c r="B50" s="10">
        <f>124422499-SUM($B11:G11)</f>
        <v>18059558</v>
      </c>
      <c r="C50" s="10">
        <v>0</v>
      </c>
      <c r="D50" s="10">
        <v>0</v>
      </c>
      <c r="E50" s="10">
        <v>0</v>
      </c>
      <c r="F50" s="10">
        <v>0</v>
      </c>
      <c r="G50" s="10">
        <v>0</v>
      </c>
      <c r="H50" s="16">
        <f>SUM(B11:G11)+SUM(B50:G50)</f>
        <v>124422499</v>
      </c>
      <c r="J50" s="40"/>
    </row>
    <row r="51" spans="1:10" ht="15.75" x14ac:dyDescent="0.25">
      <c r="A51" s="9" t="s">
        <v>23</v>
      </c>
      <c r="B51" s="10">
        <f>635371-SUM($B12:G12)</f>
        <v>82717</v>
      </c>
      <c r="C51" s="10">
        <v>0</v>
      </c>
      <c r="D51" s="10">
        <v>0</v>
      </c>
      <c r="E51" s="10">
        <v>0</v>
      </c>
      <c r="F51" s="10">
        <v>0</v>
      </c>
      <c r="G51" s="10">
        <v>0</v>
      </c>
      <c r="H51" s="16">
        <f>SUM(B12:G12)+SUM(B51:G51)</f>
        <v>635371</v>
      </c>
      <c r="J51" s="40"/>
    </row>
    <row r="52" spans="1:10" ht="15.75" x14ac:dyDescent="0.25">
      <c r="A52" s="7" t="s">
        <v>13</v>
      </c>
      <c r="B52" s="10"/>
      <c r="C52" s="10"/>
      <c r="D52" s="10"/>
      <c r="E52" s="10"/>
      <c r="F52" s="10"/>
      <c r="G52" s="10"/>
      <c r="H52" s="16"/>
    </row>
    <row r="53" spans="1:10" ht="15.75" x14ac:dyDescent="0.25">
      <c r="A53" s="3" t="s">
        <v>14</v>
      </c>
      <c r="B53" s="10">
        <f>807810-SUM($B14:G14)</f>
        <v>114060</v>
      </c>
      <c r="C53" s="10">
        <v>0</v>
      </c>
      <c r="D53" s="10">
        <v>0</v>
      </c>
      <c r="E53" s="10">
        <v>0</v>
      </c>
      <c r="F53" s="10">
        <v>0</v>
      </c>
      <c r="G53" s="10">
        <v>0</v>
      </c>
      <c r="H53" s="16">
        <f t="shared" ref="H53" si="4">SUM(B14:G14)+SUM(B53:G53)</f>
        <v>807810</v>
      </c>
      <c r="J53" s="40"/>
    </row>
    <row r="54" spans="1:10" ht="15.75" x14ac:dyDescent="0.25">
      <c r="A54" s="9" t="s">
        <v>36</v>
      </c>
      <c r="B54" s="10">
        <f>17230485-SUM($B15:G15)</f>
        <v>2490876</v>
      </c>
      <c r="C54" s="10">
        <v>0</v>
      </c>
      <c r="D54" s="10">
        <v>0</v>
      </c>
      <c r="E54" s="10">
        <v>0</v>
      </c>
      <c r="F54" s="10">
        <v>0</v>
      </c>
      <c r="G54" s="10">
        <v>0</v>
      </c>
      <c r="H54" s="16">
        <f>SUM(B15:G15)+SUM(B54:G54)</f>
        <v>17230485</v>
      </c>
    </row>
    <row r="55" spans="1:10" ht="15.75" x14ac:dyDescent="0.25">
      <c r="A55" s="9"/>
      <c r="B55" s="10"/>
      <c r="C55" s="10"/>
      <c r="D55" s="10"/>
      <c r="E55" s="10"/>
      <c r="F55" s="10"/>
      <c r="G55" s="10"/>
      <c r="H55" s="16"/>
    </row>
    <row r="56" spans="1:10" ht="15.75" x14ac:dyDescent="0.25">
      <c r="A56" s="31" t="s">
        <v>25</v>
      </c>
      <c r="B56" s="10"/>
      <c r="C56" s="10"/>
      <c r="D56" s="10"/>
      <c r="E56" s="10"/>
      <c r="F56" s="10"/>
      <c r="G56" s="10"/>
      <c r="H56" s="16"/>
    </row>
    <row r="57" spans="1:10" ht="15.75" x14ac:dyDescent="0.25">
      <c r="A57" s="38" t="s">
        <v>26</v>
      </c>
      <c r="B57" s="10"/>
      <c r="C57" s="10"/>
      <c r="D57" s="10"/>
      <c r="E57" s="10"/>
      <c r="F57" s="10"/>
      <c r="G57" s="10"/>
      <c r="H57" s="16"/>
    </row>
    <row r="58" spans="1:10" ht="15.75" x14ac:dyDescent="0.25">
      <c r="A58" s="9" t="s">
        <v>35</v>
      </c>
      <c r="B58" s="10">
        <f>81546239-SUM($B19:G19)</f>
        <v>14281642</v>
      </c>
      <c r="C58" s="10">
        <v>0</v>
      </c>
      <c r="D58" s="10">
        <v>0</v>
      </c>
      <c r="E58" s="10">
        <v>0</v>
      </c>
      <c r="F58" s="10">
        <v>0</v>
      </c>
      <c r="G58" s="10">
        <v>0</v>
      </c>
      <c r="H58" s="16">
        <f>SUM(B19:G19)+SUM(B58:G58)</f>
        <v>81546239</v>
      </c>
      <c r="J58" s="40"/>
    </row>
    <row r="59" spans="1:10" ht="15.75" x14ac:dyDescent="0.25">
      <c r="A59" s="9" t="s">
        <v>23</v>
      </c>
      <c r="B59" s="10">
        <f>845991-SUM($B20:G20)</f>
        <v>83999</v>
      </c>
      <c r="C59" s="10">
        <v>0</v>
      </c>
      <c r="D59" s="10">
        <v>0</v>
      </c>
      <c r="E59" s="10">
        <v>0</v>
      </c>
      <c r="F59" s="10">
        <v>0</v>
      </c>
      <c r="G59" s="10">
        <v>0</v>
      </c>
      <c r="H59" s="16">
        <f>SUM(B20:G20)+SUM(B59:G59)</f>
        <v>845991</v>
      </c>
      <c r="J59" s="40"/>
    </row>
    <row r="60" spans="1:10" ht="15.75" x14ac:dyDescent="0.25">
      <c r="A60" s="9"/>
      <c r="B60" s="10"/>
      <c r="C60" s="10"/>
      <c r="D60" s="10"/>
      <c r="E60" s="10"/>
      <c r="F60" s="10"/>
      <c r="G60" s="10"/>
      <c r="H60" s="16"/>
    </row>
    <row r="61" spans="1:10" ht="15.75" x14ac:dyDescent="0.25">
      <c r="A61" s="31" t="s">
        <v>25</v>
      </c>
      <c r="B61" s="10"/>
      <c r="C61" s="10"/>
      <c r="D61" s="10"/>
      <c r="E61" s="10"/>
      <c r="F61" s="10"/>
      <c r="G61" s="10"/>
      <c r="H61" s="16"/>
    </row>
    <row r="62" spans="1:10" ht="15.75" x14ac:dyDescent="0.25">
      <c r="A62" s="38" t="s">
        <v>30</v>
      </c>
      <c r="B62" s="10"/>
      <c r="C62" s="10"/>
      <c r="D62" s="10"/>
      <c r="E62" s="10"/>
      <c r="F62" s="10"/>
      <c r="G62" s="10"/>
      <c r="H62" s="16"/>
    </row>
    <row r="63" spans="1:10" ht="15.75" x14ac:dyDescent="0.25">
      <c r="A63" s="9" t="s">
        <v>23</v>
      </c>
      <c r="B63" s="10">
        <f>379016-SUM($B24:G24)</f>
        <v>0</v>
      </c>
      <c r="C63" s="10">
        <v>0</v>
      </c>
      <c r="D63" s="10">
        <v>0</v>
      </c>
      <c r="E63" s="10">
        <v>0</v>
      </c>
      <c r="F63" s="10">
        <v>0</v>
      </c>
      <c r="G63" s="10">
        <v>0</v>
      </c>
      <c r="H63" s="16">
        <f>SUM(B24:G24)+SUM(B63:G63)</f>
        <v>379016</v>
      </c>
      <c r="J63" s="40"/>
    </row>
    <row r="64" spans="1:10" ht="15.75" x14ac:dyDescent="0.25">
      <c r="A64" s="9"/>
      <c r="B64" s="10"/>
      <c r="C64" s="10"/>
      <c r="D64" s="10"/>
      <c r="E64" s="10"/>
      <c r="F64" s="10"/>
      <c r="G64" s="10"/>
      <c r="H64" s="16"/>
    </row>
    <row r="65" spans="1:10" ht="15.75" x14ac:dyDescent="0.25">
      <c r="A65" s="31" t="s">
        <v>20</v>
      </c>
      <c r="B65" s="10"/>
      <c r="C65" s="10"/>
      <c r="D65" s="10"/>
      <c r="E65" s="10"/>
      <c r="F65" s="10"/>
      <c r="G65" s="10"/>
      <c r="H65" s="16"/>
    </row>
    <row r="66" spans="1:10" ht="15.75" x14ac:dyDescent="0.25">
      <c r="A66" s="7" t="s">
        <v>16</v>
      </c>
      <c r="B66" s="2"/>
      <c r="C66" s="2"/>
      <c r="D66" s="2"/>
      <c r="E66" s="2"/>
      <c r="F66" s="2"/>
      <c r="G66" s="2"/>
      <c r="H66" s="16"/>
    </row>
    <row r="67" spans="1:10" ht="15.75" x14ac:dyDescent="0.25">
      <c r="A67" s="3" t="s">
        <v>17</v>
      </c>
      <c r="B67" s="10">
        <f>2799406-SUM($B28:G28)</f>
        <v>487358</v>
      </c>
      <c r="C67" s="10">
        <v>0</v>
      </c>
      <c r="D67" s="10">
        <v>0</v>
      </c>
      <c r="E67" s="10">
        <v>0</v>
      </c>
      <c r="F67" s="10">
        <v>0</v>
      </c>
      <c r="G67" s="10">
        <v>0</v>
      </c>
      <c r="H67" s="16">
        <f>SUM(B28:G28)+SUM(B67:G67)</f>
        <v>2799406</v>
      </c>
      <c r="J67" s="40"/>
    </row>
    <row r="68" spans="1:10" ht="15.75" customHeight="1" x14ac:dyDescent="0.25">
      <c r="A68" s="3"/>
      <c r="B68" s="10"/>
      <c r="C68" s="10"/>
      <c r="D68" s="10"/>
      <c r="E68" s="10"/>
      <c r="F68" s="10"/>
      <c r="G68" s="10"/>
      <c r="H68" s="16"/>
      <c r="J68" s="40"/>
    </row>
    <row r="69" spans="1:10" ht="15.75" x14ac:dyDescent="0.25">
      <c r="A69" s="46" t="s">
        <v>18</v>
      </c>
      <c r="B69" s="44">
        <f t="shared" ref="B69:H69" si="5">SUM(B50:B67)</f>
        <v>35600210</v>
      </c>
      <c r="C69" s="44">
        <f t="shared" si="5"/>
        <v>0</v>
      </c>
      <c r="D69" s="44">
        <f t="shared" si="5"/>
        <v>0</v>
      </c>
      <c r="E69" s="44">
        <f t="shared" si="5"/>
        <v>0</v>
      </c>
      <c r="F69" s="44">
        <f t="shared" si="5"/>
        <v>0</v>
      </c>
      <c r="G69" s="44">
        <f t="shared" si="5"/>
        <v>0</v>
      </c>
      <c r="H69" s="45">
        <f t="shared" si="5"/>
        <v>228666817</v>
      </c>
    </row>
    <row r="70" spans="1:10" ht="15.75" x14ac:dyDescent="0.25">
      <c r="A70" s="2"/>
      <c r="B70" s="11"/>
      <c r="C70" s="11"/>
      <c r="D70" s="11"/>
      <c r="E70" s="11"/>
      <c r="F70" s="11"/>
      <c r="G70" s="11"/>
      <c r="H70" s="16"/>
    </row>
    <row r="71" spans="1:10" ht="15.75" x14ac:dyDescent="0.25">
      <c r="A71" s="4" t="s">
        <v>1</v>
      </c>
      <c r="H71" s="16"/>
    </row>
    <row r="72" spans="1:10" ht="15.75" x14ac:dyDescent="0.25">
      <c r="A72" s="43" t="s">
        <v>34</v>
      </c>
      <c r="B72" s="10">
        <v>0</v>
      </c>
      <c r="C72" s="10">
        <v>0</v>
      </c>
      <c r="D72" s="10">
        <v>0</v>
      </c>
      <c r="E72" s="10">
        <v>0</v>
      </c>
      <c r="F72" s="29">
        <v>0</v>
      </c>
      <c r="G72" s="10">
        <v>0</v>
      </c>
      <c r="H72" s="16">
        <f>SUM(B33:G33)+SUM(B72:G72)</f>
        <v>-17620764</v>
      </c>
    </row>
    <row r="73" spans="1:10" ht="15.75" x14ac:dyDescent="0.25">
      <c r="A73" s="43" t="s">
        <v>32</v>
      </c>
      <c r="B73" s="29">
        <f>-61443582-SUM($B34:G34)</f>
        <v>-4749383</v>
      </c>
      <c r="C73" s="10">
        <v>0</v>
      </c>
      <c r="D73" s="10">
        <v>0</v>
      </c>
      <c r="E73" s="10">
        <v>0</v>
      </c>
      <c r="F73" s="10">
        <v>0</v>
      </c>
      <c r="G73" s="10">
        <v>0</v>
      </c>
      <c r="H73" s="16">
        <f>SUM(B34:G34)+SUM(B73:G73)</f>
        <v>-61443582</v>
      </c>
    </row>
    <row r="74" spans="1:10" ht="15.75" x14ac:dyDescent="0.25">
      <c r="A74" s="43" t="s">
        <v>111</v>
      </c>
      <c r="B74" s="29">
        <v>-12751399</v>
      </c>
      <c r="C74" s="10">
        <v>0</v>
      </c>
      <c r="D74" s="10">
        <v>0</v>
      </c>
      <c r="E74" s="10">
        <v>0</v>
      </c>
      <c r="F74" s="10">
        <v>0</v>
      </c>
      <c r="G74" s="10">
        <v>0</v>
      </c>
      <c r="H74" s="16">
        <f>SUM(B35:G35)+SUM(B74:G74)</f>
        <v>-12751399</v>
      </c>
    </row>
    <row r="75" spans="1:10" ht="15.75" x14ac:dyDescent="0.25">
      <c r="A75" s="46" t="s">
        <v>33</v>
      </c>
      <c r="B75" s="47">
        <f t="shared" ref="B75:G75" si="6">SUM(B72:B74)</f>
        <v>-17500782</v>
      </c>
      <c r="C75" s="47">
        <f t="shared" si="6"/>
        <v>0</v>
      </c>
      <c r="D75" s="47">
        <f t="shared" si="6"/>
        <v>0</v>
      </c>
      <c r="E75" s="47">
        <f t="shared" si="6"/>
        <v>0</v>
      </c>
      <c r="F75" s="47">
        <f t="shared" si="6"/>
        <v>0</v>
      </c>
      <c r="G75" s="47">
        <f t="shared" si="6"/>
        <v>0</v>
      </c>
      <c r="H75" s="26">
        <f>SUM(H72:H74)</f>
        <v>-91815745</v>
      </c>
    </row>
    <row r="76" spans="1:10" ht="15.75" x14ac:dyDescent="0.25">
      <c r="A76" s="2"/>
      <c r="B76" s="10"/>
      <c r="C76" s="10"/>
      <c r="D76" s="10"/>
      <c r="E76" s="10"/>
      <c r="F76" s="10"/>
      <c r="G76" s="10"/>
      <c r="H76" s="16"/>
    </row>
    <row r="77" spans="1:10" ht="16.5" thickBot="1" x14ac:dyDescent="0.3">
      <c r="A77" s="8" t="s">
        <v>2</v>
      </c>
      <c r="B77" s="14">
        <f t="shared" ref="B77:H77" si="7">B44+B69+B75</f>
        <v>425461981</v>
      </c>
      <c r="C77" s="14">
        <f t="shared" si="7"/>
        <v>0</v>
      </c>
      <c r="D77" s="14">
        <f t="shared" si="7"/>
        <v>0</v>
      </c>
      <c r="E77" s="14">
        <f t="shared" si="7"/>
        <v>0</v>
      </c>
      <c r="F77" s="14">
        <f t="shared" si="7"/>
        <v>0</v>
      </c>
      <c r="G77" s="14">
        <f t="shared" si="7"/>
        <v>0</v>
      </c>
      <c r="H77" s="15">
        <f t="shared" si="7"/>
        <v>425461981</v>
      </c>
    </row>
    <row r="78" spans="1:10" x14ac:dyDescent="0.25">
      <c r="A78" s="2"/>
      <c r="B78" s="2"/>
      <c r="C78" s="2"/>
      <c r="D78" s="2"/>
      <c r="E78" s="2"/>
      <c r="F78" s="2"/>
      <c r="G78" s="2"/>
      <c r="H78" s="2"/>
    </row>
    <row r="79" spans="1:10" x14ac:dyDescent="0.25">
      <c r="A79" s="21"/>
      <c r="B79" s="2"/>
    </row>
  </sheetData>
  <mergeCells count="2">
    <mergeCell ref="B3:G3"/>
    <mergeCell ref="B42:H42"/>
  </mergeCells>
  <pageMargins left="0.7" right="0.7" top="0.75" bottom="0.75" header="0.3" footer="0.3"/>
  <pageSetup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H56"/>
  <sheetViews>
    <sheetView showGridLines="0" topLeftCell="A43" workbookViewId="0">
      <selection activeCell="A65" sqref="A65"/>
    </sheetView>
  </sheetViews>
  <sheetFormatPr defaultRowHeight="14.25" x14ac:dyDescent="0.25"/>
  <cols>
    <col min="1" max="1" width="33.7109375" style="2" customWidth="1"/>
    <col min="2" max="7" width="13.7109375" style="2" customWidth="1"/>
    <col min="8" max="8" width="14.85546875" style="2" customWidth="1"/>
    <col min="9" max="16384" width="9.140625" style="2"/>
  </cols>
  <sheetData>
    <row r="1" spans="1:8" ht="18.75" x14ac:dyDescent="0.3">
      <c r="A1" s="5" t="s">
        <v>6</v>
      </c>
    </row>
    <row r="2" spans="1:8" ht="8.25" customHeight="1" x14ac:dyDescent="0.3">
      <c r="A2" s="5"/>
    </row>
    <row r="3" spans="1:8" ht="15.75" x14ac:dyDescent="0.25">
      <c r="A3" s="1"/>
      <c r="B3" s="107" t="s">
        <v>37</v>
      </c>
      <c r="C3" s="107"/>
      <c r="D3" s="107"/>
      <c r="E3" s="107"/>
      <c r="F3" s="107"/>
      <c r="G3" s="107"/>
    </row>
    <row r="4" spans="1:8" s="6" customFormat="1" ht="15.75" x14ac:dyDescent="0.25">
      <c r="B4" s="18">
        <v>42917</v>
      </c>
      <c r="C4" s="18">
        <v>42948</v>
      </c>
      <c r="D4" s="18">
        <v>42979</v>
      </c>
      <c r="E4" s="18">
        <v>43009</v>
      </c>
      <c r="F4" s="18">
        <v>43040</v>
      </c>
      <c r="G4" s="18">
        <v>43070</v>
      </c>
      <c r="H4" s="34" t="s">
        <v>21</v>
      </c>
    </row>
    <row r="5" spans="1:8" ht="15.75" x14ac:dyDescent="0.25">
      <c r="A5" s="8" t="s">
        <v>3</v>
      </c>
      <c r="B5" s="28">
        <v>16507090</v>
      </c>
      <c r="C5" s="28">
        <f>IF(C19=0,0,B25)</f>
        <v>16511634</v>
      </c>
      <c r="D5" s="28">
        <f t="shared" ref="D5:F5" si="0">IF(D19=0,0,C25)</f>
        <v>18518728</v>
      </c>
      <c r="E5" s="28">
        <f t="shared" si="0"/>
        <v>20744275</v>
      </c>
      <c r="F5" s="28">
        <f t="shared" si="0"/>
        <v>22292500</v>
      </c>
      <c r="G5" s="28">
        <f>IF(G19=0,0,F25)</f>
        <v>24308437</v>
      </c>
    </row>
    <row r="6" spans="1:8" ht="15.75" x14ac:dyDescent="0.25">
      <c r="B6" s="10"/>
      <c r="C6" s="10"/>
      <c r="D6" s="10"/>
      <c r="E6" s="10"/>
      <c r="F6" s="10"/>
      <c r="G6" s="10"/>
    </row>
    <row r="7" spans="1:8" ht="15.75" x14ac:dyDescent="0.25">
      <c r="A7" s="4" t="s">
        <v>0</v>
      </c>
      <c r="B7" s="10"/>
      <c r="C7" s="10"/>
      <c r="D7" s="10"/>
      <c r="E7" s="10"/>
      <c r="F7" s="10"/>
      <c r="G7" s="10"/>
    </row>
    <row r="8" spans="1:8" ht="15.75" x14ac:dyDescent="0.25">
      <c r="A8" s="31" t="s">
        <v>25</v>
      </c>
      <c r="B8" s="10"/>
      <c r="C8" s="10"/>
      <c r="D8" s="10"/>
      <c r="E8" s="10"/>
      <c r="F8" s="10"/>
      <c r="G8" s="10"/>
    </row>
    <row r="9" spans="1:8" ht="15.75" x14ac:dyDescent="0.25">
      <c r="A9" s="38" t="s">
        <v>24</v>
      </c>
      <c r="B9" s="10"/>
      <c r="C9" s="10"/>
      <c r="D9" s="10"/>
      <c r="E9" s="10"/>
      <c r="F9" s="10"/>
      <c r="G9" s="10"/>
    </row>
    <row r="10" spans="1:8" ht="15.75" x14ac:dyDescent="0.25">
      <c r="A10" s="9" t="s">
        <v>27</v>
      </c>
      <c r="B10" s="10">
        <v>0</v>
      </c>
      <c r="C10" s="10">
        <v>1991000</v>
      </c>
      <c r="D10" s="10">
        <f>4202250-C10</f>
        <v>2211250</v>
      </c>
      <c r="E10" s="29">
        <v>1518000</v>
      </c>
      <c r="F10" s="29">
        <v>1968250</v>
      </c>
      <c r="G10" s="10">
        <v>1538500</v>
      </c>
    </row>
    <row r="11" spans="1:8" ht="15.75" x14ac:dyDescent="0.25">
      <c r="A11" s="9"/>
      <c r="B11" s="10"/>
      <c r="C11" s="10"/>
      <c r="D11" s="10"/>
      <c r="E11" s="29"/>
      <c r="F11" s="29"/>
      <c r="G11" s="10"/>
    </row>
    <row r="12" spans="1:8" ht="15.75" x14ac:dyDescent="0.25">
      <c r="A12" s="35" t="s">
        <v>20</v>
      </c>
      <c r="B12" s="10"/>
      <c r="C12" s="10"/>
      <c r="D12" s="10"/>
      <c r="E12" s="29"/>
      <c r="F12" s="29"/>
      <c r="G12" s="10"/>
    </row>
    <row r="13" spans="1:8" ht="15.75" x14ac:dyDescent="0.25">
      <c r="A13" s="7" t="s">
        <v>28</v>
      </c>
      <c r="B13" s="10"/>
      <c r="C13" s="10"/>
      <c r="D13" s="10"/>
      <c r="E13" s="29"/>
      <c r="F13" s="29"/>
      <c r="G13" s="10"/>
    </row>
    <row r="14" spans="1:8" ht="15.75" x14ac:dyDescent="0.25">
      <c r="A14" s="3" t="s">
        <v>29</v>
      </c>
      <c r="B14" s="10">
        <v>4544</v>
      </c>
      <c r="C14" s="10">
        <v>16094</v>
      </c>
      <c r="D14" s="10">
        <f>34935-SUM($B14:C14)</f>
        <v>14297</v>
      </c>
      <c r="E14" s="10">
        <f>65160-SUM($B14:D14)</f>
        <v>30225</v>
      </c>
      <c r="F14" s="10">
        <f>112847-SUM($B14:E14)</f>
        <v>47687</v>
      </c>
      <c r="G14" s="10">
        <f>138261-SUM($B14:F14)</f>
        <v>25414</v>
      </c>
    </row>
    <row r="15" spans="1:8" ht="15.75" x14ac:dyDescent="0.25">
      <c r="A15" s="3"/>
      <c r="B15" s="10"/>
      <c r="C15" s="10"/>
      <c r="D15" s="10"/>
      <c r="E15" s="10"/>
      <c r="F15" s="10"/>
      <c r="G15" s="10"/>
    </row>
    <row r="16" spans="1:8" ht="15.75" x14ac:dyDescent="0.25">
      <c r="A16" s="35" t="s">
        <v>112</v>
      </c>
      <c r="B16" s="10"/>
      <c r="C16" s="10"/>
      <c r="D16" s="10"/>
      <c r="E16" s="10"/>
      <c r="F16" s="10"/>
      <c r="G16" s="10"/>
    </row>
    <row r="17" spans="1:8" ht="15.75" x14ac:dyDescent="0.25">
      <c r="A17" s="7" t="s">
        <v>113</v>
      </c>
      <c r="B17" s="10"/>
      <c r="C17" s="10"/>
      <c r="D17" s="10"/>
      <c r="E17" s="10"/>
      <c r="F17" s="10"/>
      <c r="G17" s="10"/>
    </row>
    <row r="18" spans="1:8" ht="15.75" x14ac:dyDescent="0.25">
      <c r="A18" s="3" t="s">
        <v>114</v>
      </c>
      <c r="B18" s="10">
        <v>0</v>
      </c>
      <c r="C18" s="10">
        <v>0</v>
      </c>
      <c r="D18" s="10">
        <v>0</v>
      </c>
      <c r="E18" s="10">
        <v>0</v>
      </c>
      <c r="F18" s="10">
        <v>0</v>
      </c>
      <c r="G18" s="10">
        <v>0</v>
      </c>
    </row>
    <row r="19" spans="1:8" ht="15.75" x14ac:dyDescent="0.25">
      <c r="A19" s="32" t="s">
        <v>18</v>
      </c>
      <c r="B19" s="30">
        <f>SUM(B10:B18)</f>
        <v>4544</v>
      </c>
      <c r="C19" s="30">
        <f t="shared" ref="C19:G19" si="1">SUM(C10:C18)</f>
        <v>2007094</v>
      </c>
      <c r="D19" s="30">
        <f t="shared" si="1"/>
        <v>2225547</v>
      </c>
      <c r="E19" s="30">
        <f t="shared" si="1"/>
        <v>1548225</v>
      </c>
      <c r="F19" s="30">
        <f t="shared" si="1"/>
        <v>2015937</v>
      </c>
      <c r="G19" s="30">
        <f t="shared" si="1"/>
        <v>1563914</v>
      </c>
    </row>
    <row r="20" spans="1:8" ht="15.75" x14ac:dyDescent="0.25">
      <c r="B20" s="11"/>
      <c r="C20" s="11"/>
      <c r="D20" s="11"/>
      <c r="E20" s="11"/>
      <c r="F20" s="11"/>
      <c r="G20" s="11"/>
    </row>
    <row r="21" spans="1:8" ht="15.75" x14ac:dyDescent="0.25">
      <c r="A21" s="35" t="s">
        <v>1</v>
      </c>
      <c r="B21" s="11"/>
      <c r="C21" s="11"/>
      <c r="D21" s="11"/>
      <c r="E21" s="11"/>
      <c r="F21" s="11"/>
      <c r="G21" s="11"/>
    </row>
    <row r="22" spans="1:8" ht="15.75" x14ac:dyDescent="0.25">
      <c r="A22" s="60" t="s">
        <v>115</v>
      </c>
      <c r="B22" s="11"/>
      <c r="C22" s="11"/>
      <c r="D22" s="11"/>
      <c r="E22" s="11"/>
      <c r="F22" s="11"/>
      <c r="G22" s="11"/>
    </row>
    <row r="23" spans="1:8" ht="15.75" x14ac:dyDescent="0.25">
      <c r="A23" s="59" t="s">
        <v>116</v>
      </c>
      <c r="B23" s="10">
        <v>0</v>
      </c>
      <c r="C23" s="10">
        <v>0</v>
      </c>
      <c r="D23" s="10">
        <v>0</v>
      </c>
      <c r="E23" s="10">
        <v>0</v>
      </c>
      <c r="F23" s="10">
        <v>0</v>
      </c>
      <c r="G23" s="10">
        <v>0</v>
      </c>
    </row>
    <row r="24" spans="1:8" ht="15.75" x14ac:dyDescent="0.25">
      <c r="B24" s="10"/>
      <c r="C24" s="10"/>
      <c r="D24" s="10"/>
      <c r="E24" s="10"/>
      <c r="F24" s="10"/>
      <c r="G24" s="10"/>
    </row>
    <row r="25" spans="1:8" ht="16.5" thickBot="1" x14ac:dyDescent="0.3">
      <c r="A25" s="8" t="s">
        <v>2</v>
      </c>
      <c r="B25" s="36">
        <f t="shared" ref="B25:G25" si="2">B5+B19+B23</f>
        <v>16511634</v>
      </c>
      <c r="C25" s="36">
        <f t="shared" si="2"/>
        <v>18518728</v>
      </c>
      <c r="D25" s="36">
        <f t="shared" si="2"/>
        <v>20744275</v>
      </c>
      <c r="E25" s="36">
        <f t="shared" si="2"/>
        <v>22292500</v>
      </c>
      <c r="F25" s="36">
        <f t="shared" si="2"/>
        <v>24308437</v>
      </c>
      <c r="G25" s="36">
        <f t="shared" si="2"/>
        <v>25872351</v>
      </c>
    </row>
    <row r="27" spans="1:8" ht="15.75" x14ac:dyDescent="0.25">
      <c r="C27" s="12"/>
      <c r="D27" s="12"/>
      <c r="E27" s="12"/>
      <c r="F27" s="12"/>
      <c r="G27" s="12"/>
    </row>
    <row r="29" spans="1:8" ht="15.75" x14ac:dyDescent="0.25">
      <c r="B29" s="107" t="s">
        <v>37</v>
      </c>
      <c r="C29" s="107"/>
      <c r="D29" s="107"/>
      <c r="E29" s="107"/>
      <c r="F29" s="107"/>
      <c r="G29" s="107"/>
      <c r="H29" s="33"/>
    </row>
    <row r="30" spans="1:8" ht="15.75" x14ac:dyDescent="0.25">
      <c r="B30" s="18">
        <v>43101</v>
      </c>
      <c r="C30" s="18">
        <v>43132</v>
      </c>
      <c r="D30" s="18">
        <v>43160</v>
      </c>
      <c r="E30" s="18">
        <v>43191</v>
      </c>
      <c r="F30" s="18">
        <v>43221</v>
      </c>
      <c r="G30" s="18">
        <v>43252</v>
      </c>
      <c r="H30" s="23" t="s">
        <v>12</v>
      </c>
    </row>
    <row r="31" spans="1:8" ht="15.75" x14ac:dyDescent="0.25">
      <c r="A31" s="8" t="s">
        <v>3</v>
      </c>
      <c r="B31" s="28">
        <f>IF(B45=0,0,G25)</f>
        <v>25872351</v>
      </c>
      <c r="C31" s="28">
        <f>IF(C45=0,0,B51)</f>
        <v>0</v>
      </c>
      <c r="D31" s="28">
        <f>IF(D45=0,0,C51)</f>
        <v>0</v>
      </c>
      <c r="E31" s="28">
        <f>IF(E45=0,0,D51)</f>
        <v>0</v>
      </c>
      <c r="F31" s="28">
        <f>IF(F45=0,0,E51)</f>
        <v>0</v>
      </c>
      <c r="G31" s="28">
        <f>IF(G45=0,0,F51)</f>
        <v>0</v>
      </c>
      <c r="H31" s="28">
        <f>B5</f>
        <v>16507090</v>
      </c>
    </row>
    <row r="32" spans="1:8" ht="15.75" x14ac:dyDescent="0.25">
      <c r="B32" s="10"/>
      <c r="C32" s="10"/>
      <c r="D32" s="10"/>
      <c r="E32" s="10"/>
      <c r="F32" s="10"/>
      <c r="G32" s="10"/>
      <c r="H32" s="10"/>
    </row>
    <row r="33" spans="1:8" ht="15.75" x14ac:dyDescent="0.25">
      <c r="A33" s="4" t="s">
        <v>0</v>
      </c>
      <c r="B33" s="10"/>
      <c r="C33" s="10"/>
      <c r="D33" s="10"/>
      <c r="E33" s="10"/>
      <c r="F33" s="10"/>
      <c r="G33" s="10"/>
      <c r="H33" s="10"/>
    </row>
    <row r="34" spans="1:8" ht="15.75" x14ac:dyDescent="0.25">
      <c r="A34" s="31" t="s">
        <v>25</v>
      </c>
      <c r="B34" s="10"/>
      <c r="C34" s="10"/>
      <c r="D34" s="10"/>
      <c r="E34" s="10"/>
      <c r="F34" s="10"/>
      <c r="G34" s="10"/>
      <c r="H34" s="10"/>
    </row>
    <row r="35" spans="1:8" ht="15.75" x14ac:dyDescent="0.25">
      <c r="A35" s="38" t="s">
        <v>24</v>
      </c>
      <c r="B35" s="10"/>
      <c r="C35" s="10"/>
      <c r="D35" s="10"/>
      <c r="E35" s="10"/>
      <c r="F35" s="10"/>
      <c r="G35" s="10"/>
      <c r="H35" s="10"/>
    </row>
    <row r="36" spans="1:8" ht="15.75" x14ac:dyDescent="0.25">
      <c r="A36" s="9" t="s">
        <v>27</v>
      </c>
      <c r="B36" s="10">
        <v>1376250</v>
      </c>
      <c r="C36" s="10">
        <v>0</v>
      </c>
      <c r="D36" s="10">
        <v>0</v>
      </c>
      <c r="E36" s="10">
        <v>0</v>
      </c>
      <c r="F36" s="10">
        <v>0</v>
      </c>
      <c r="G36" s="10">
        <v>0</v>
      </c>
      <c r="H36" s="10">
        <f>SUM(B10:G10)+SUM(B36:G36)</f>
        <v>10603250</v>
      </c>
    </row>
    <row r="37" spans="1:8" ht="15.75" x14ac:dyDescent="0.25">
      <c r="A37" s="9"/>
      <c r="B37" s="10"/>
      <c r="C37" s="10"/>
      <c r="D37" s="10"/>
      <c r="E37" s="10"/>
      <c r="F37" s="10"/>
      <c r="G37" s="10"/>
      <c r="H37" s="10"/>
    </row>
    <row r="38" spans="1:8" ht="15.75" x14ac:dyDescent="0.25">
      <c r="A38" s="35" t="s">
        <v>20</v>
      </c>
      <c r="B38" s="10"/>
      <c r="C38" s="10"/>
      <c r="D38" s="10"/>
      <c r="E38" s="10"/>
      <c r="F38" s="10"/>
      <c r="G38" s="10"/>
      <c r="H38" s="10"/>
    </row>
    <row r="39" spans="1:8" ht="15.75" x14ac:dyDescent="0.25">
      <c r="A39" s="7" t="s">
        <v>28</v>
      </c>
      <c r="B39" s="10"/>
      <c r="C39" s="10"/>
      <c r="D39" s="10"/>
      <c r="E39" s="10"/>
      <c r="F39" s="10"/>
      <c r="G39" s="10"/>
      <c r="H39" s="10"/>
    </row>
    <row r="40" spans="1:8" ht="15.75" x14ac:dyDescent="0.25">
      <c r="A40" s="3" t="s">
        <v>29</v>
      </c>
      <c r="B40" s="10">
        <f>168181-SUM($B14:G14)</f>
        <v>29920</v>
      </c>
      <c r="C40" s="10">
        <v>0</v>
      </c>
      <c r="D40" s="10">
        <v>0</v>
      </c>
      <c r="E40" s="10">
        <v>0</v>
      </c>
      <c r="F40" s="10">
        <v>0</v>
      </c>
      <c r="G40" s="10">
        <v>0</v>
      </c>
      <c r="H40" s="10">
        <f>SUM(B14:G14)+SUM(B40:G40)</f>
        <v>168181</v>
      </c>
    </row>
    <row r="41" spans="1:8" ht="15.75" x14ac:dyDescent="0.25">
      <c r="A41" s="3"/>
      <c r="B41" s="10"/>
      <c r="C41" s="10"/>
      <c r="D41" s="10"/>
      <c r="E41" s="10"/>
      <c r="F41" s="10"/>
      <c r="G41" s="10"/>
      <c r="H41" s="10"/>
    </row>
    <row r="42" spans="1:8" ht="15.75" x14ac:dyDescent="0.25">
      <c r="A42" s="35" t="s">
        <v>112</v>
      </c>
      <c r="B42" s="10"/>
      <c r="C42" s="10"/>
      <c r="D42" s="10"/>
      <c r="E42" s="10"/>
      <c r="F42" s="10"/>
      <c r="G42" s="10"/>
      <c r="H42" s="10"/>
    </row>
    <row r="43" spans="1:8" ht="15.75" x14ac:dyDescent="0.25">
      <c r="A43" s="7" t="s">
        <v>113</v>
      </c>
      <c r="B43" s="10"/>
      <c r="C43" s="10"/>
      <c r="D43" s="10"/>
      <c r="E43" s="10"/>
      <c r="F43" s="10"/>
      <c r="G43" s="10"/>
      <c r="H43" s="10"/>
    </row>
    <row r="44" spans="1:8" ht="15.75" x14ac:dyDescent="0.25">
      <c r="A44" s="3" t="s">
        <v>114</v>
      </c>
      <c r="B44" s="10">
        <v>12751399</v>
      </c>
      <c r="C44" s="10"/>
      <c r="D44" s="10"/>
      <c r="E44" s="10"/>
      <c r="F44" s="10"/>
      <c r="G44" s="10"/>
      <c r="H44" s="10">
        <f>SUM(B18:G18)+SUM(B44:G44)</f>
        <v>12751399</v>
      </c>
    </row>
    <row r="45" spans="1:8" ht="15.75" x14ac:dyDescent="0.25">
      <c r="A45" s="32" t="s">
        <v>18</v>
      </c>
      <c r="B45" s="30">
        <f>SUM(B36:B44)</f>
        <v>14157569</v>
      </c>
      <c r="C45" s="30">
        <f t="shared" ref="C45:G45" si="3">SUM(C36:C44)</f>
        <v>0</v>
      </c>
      <c r="D45" s="30">
        <f t="shared" si="3"/>
        <v>0</v>
      </c>
      <c r="E45" s="30">
        <f t="shared" si="3"/>
        <v>0</v>
      </c>
      <c r="F45" s="30">
        <f t="shared" si="3"/>
        <v>0</v>
      </c>
      <c r="G45" s="30">
        <f t="shared" si="3"/>
        <v>0</v>
      </c>
      <c r="H45" s="30">
        <f>SUM(H36:H44)</f>
        <v>23522830</v>
      </c>
    </row>
    <row r="46" spans="1:8" ht="15.75" x14ac:dyDescent="0.25">
      <c r="A46"/>
      <c r="B46" s="11"/>
      <c r="C46" s="11"/>
      <c r="D46" s="11"/>
      <c r="E46" s="11"/>
      <c r="F46" s="11"/>
      <c r="G46" s="11"/>
      <c r="H46" s="11"/>
    </row>
    <row r="47" spans="1:8" ht="15.75" x14ac:dyDescent="0.25">
      <c r="A47" s="35" t="s">
        <v>1</v>
      </c>
      <c r="B47" s="11"/>
      <c r="C47" s="11"/>
      <c r="D47" s="11"/>
      <c r="E47" s="11"/>
      <c r="F47" s="11"/>
      <c r="G47" s="11"/>
      <c r="H47" s="11"/>
    </row>
    <row r="48" spans="1:8" ht="15.75" x14ac:dyDescent="0.25">
      <c r="A48" s="60" t="s">
        <v>115</v>
      </c>
      <c r="B48" s="11"/>
      <c r="C48" s="11"/>
      <c r="D48" s="11"/>
      <c r="E48" s="11"/>
      <c r="F48" s="11"/>
      <c r="G48" s="11"/>
      <c r="H48" s="11"/>
    </row>
    <row r="49" spans="1:8" ht="15.75" x14ac:dyDescent="0.25">
      <c r="A49" s="59" t="s">
        <v>116</v>
      </c>
      <c r="B49" s="10">
        <v>-40000000</v>
      </c>
      <c r="C49" s="10">
        <v>0</v>
      </c>
      <c r="D49" s="10">
        <v>0</v>
      </c>
      <c r="E49" s="10">
        <v>0</v>
      </c>
      <c r="F49" s="10">
        <v>0</v>
      </c>
      <c r="G49" s="10">
        <v>0</v>
      </c>
      <c r="H49" s="10">
        <f>SUM(B23:G23)+SUM(B49:G49)</f>
        <v>-40000000</v>
      </c>
    </row>
    <row r="50" spans="1:8" ht="15.75" x14ac:dyDescent="0.25">
      <c r="B50" s="10"/>
      <c r="C50" s="10"/>
      <c r="D50" s="10"/>
      <c r="E50" s="10"/>
      <c r="F50" s="10"/>
      <c r="G50" s="10"/>
      <c r="H50" s="10"/>
    </row>
    <row r="51" spans="1:8" ht="16.5" thickBot="1" x14ac:dyDescent="0.3">
      <c r="A51" s="8" t="s">
        <v>2</v>
      </c>
      <c r="B51" s="36">
        <f t="shared" ref="B51:G51" si="4">B31+B45+B49</f>
        <v>29920</v>
      </c>
      <c r="C51" s="36">
        <f t="shared" si="4"/>
        <v>0</v>
      </c>
      <c r="D51" s="36">
        <f t="shared" si="4"/>
        <v>0</v>
      </c>
      <c r="E51" s="36">
        <f t="shared" si="4"/>
        <v>0</v>
      </c>
      <c r="F51" s="36">
        <f t="shared" si="4"/>
        <v>0</v>
      </c>
      <c r="G51" s="36">
        <f t="shared" si="4"/>
        <v>0</v>
      </c>
      <c r="H51" s="36">
        <f>H31+H45+H49</f>
        <v>29920</v>
      </c>
    </row>
    <row r="52" spans="1:8" ht="15" x14ac:dyDescent="0.25">
      <c r="A52"/>
    </row>
    <row r="53" spans="1:8" ht="15" x14ac:dyDescent="0.25">
      <c r="A53"/>
    </row>
    <row r="54" spans="1:8" x14ac:dyDescent="0.25">
      <c r="A54" s="32" t="s">
        <v>18</v>
      </c>
    </row>
    <row r="56" spans="1:8" x14ac:dyDescent="0.25">
      <c r="A56" s="8" t="s">
        <v>1</v>
      </c>
    </row>
  </sheetData>
  <mergeCells count="2">
    <mergeCell ref="B3:G3"/>
    <mergeCell ref="B29:G29"/>
  </mergeCells>
  <pageMargins left="0.7" right="0.7" top="0.75" bottom="0.75" header="0.3" footer="0.3"/>
  <pageSetup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26"/>
  <sheetViews>
    <sheetView showGridLines="0" zoomScaleNormal="100" workbookViewId="0">
      <selection activeCell="E18" sqref="E18"/>
    </sheetView>
  </sheetViews>
  <sheetFormatPr defaultRowHeight="14.25" x14ac:dyDescent="0.25"/>
  <cols>
    <col min="1" max="1" width="33.140625" style="2" customWidth="1"/>
    <col min="2" max="2" width="19.42578125" style="2" customWidth="1"/>
    <col min="3" max="3" width="14.140625" style="2" customWidth="1"/>
    <col min="4" max="5" width="13.28515625" style="2" bestFit="1" customWidth="1"/>
    <col min="6" max="6" width="14.42578125" style="2" bestFit="1" customWidth="1"/>
    <col min="7" max="7" width="14.140625" style="2" customWidth="1"/>
    <col min="8" max="12" width="10.5703125" style="2" hidden="1" customWidth="1"/>
    <col min="13" max="13" width="14.28515625" style="2" customWidth="1"/>
    <col min="14" max="14" width="4.42578125" style="19" customWidth="1"/>
    <col min="15" max="16" width="9.42578125" style="2" bestFit="1" customWidth="1"/>
    <col min="17" max="16384" width="9.140625" style="2"/>
  </cols>
  <sheetData>
    <row r="1" spans="1:18" ht="18.75" x14ac:dyDescent="0.3">
      <c r="A1" s="110" t="s">
        <v>11</v>
      </c>
      <c r="B1" s="110"/>
      <c r="C1" s="110"/>
      <c r="R1" s="98"/>
    </row>
    <row r="2" spans="1:18" ht="18.75" x14ac:dyDescent="0.3">
      <c r="A2" s="109" t="str">
        <f>"Period "&amp;MONTH(Date!B1)+6+(ROUNDUP(MONTH(Date!B1)/6,0)-1)*-12&amp;" - "&amp;TEXT(Date!B1,"mmmm yyyy")</f>
        <v>Period 7 - January 2019</v>
      </c>
      <c r="B2" s="109"/>
      <c r="C2" s="109"/>
      <c r="O2" s="98"/>
      <c r="P2" s="99"/>
      <c r="R2" s="98"/>
    </row>
    <row r="3" spans="1:18" ht="18.75" x14ac:dyDescent="0.3">
      <c r="A3" s="42"/>
      <c r="O3" s="98"/>
      <c r="P3" s="99"/>
      <c r="R3" s="98"/>
    </row>
    <row r="4" spans="1:18" ht="15.75" x14ac:dyDescent="0.25">
      <c r="A4" s="1"/>
      <c r="B4" s="108" t="str">
        <f>"Fiscal Year "&amp;YEAR(Date!B1)+ROUNDUP(MONTH(Date!B1)/6,0)-2&amp;"-"&amp;RIGHT(YEAR(Date!B1)+ROUNDUP(MONTH(Date!B1)/6,0)-1,2)</f>
        <v>Fiscal Year 2018-19</v>
      </c>
      <c r="C4" s="108"/>
      <c r="H4"/>
      <c r="I4"/>
      <c r="J4"/>
      <c r="K4"/>
      <c r="L4"/>
      <c r="O4" s="98"/>
      <c r="P4" s="99"/>
      <c r="R4" s="98"/>
    </row>
    <row r="5" spans="1:18" s="6" customFormat="1" ht="15.75" x14ac:dyDescent="0.25">
      <c r="B5" s="23" t="s">
        <v>12</v>
      </c>
      <c r="C5" s="23" t="s">
        <v>19</v>
      </c>
      <c r="D5" s="2"/>
      <c r="E5" s="2"/>
      <c r="F5" s="2"/>
      <c r="G5" s="2"/>
      <c r="H5" s="18">
        <v>43132</v>
      </c>
      <c r="I5" s="18">
        <v>43160</v>
      </c>
      <c r="J5" s="18">
        <v>43191</v>
      </c>
      <c r="K5" s="18">
        <v>43221</v>
      </c>
      <c r="L5" s="18">
        <v>43252</v>
      </c>
      <c r="M5" s="2"/>
      <c r="N5" s="19"/>
      <c r="O5" s="98"/>
      <c r="P5" s="99"/>
      <c r="R5" s="98"/>
    </row>
    <row r="6" spans="1:18" ht="15.75" x14ac:dyDescent="0.25">
      <c r="A6" s="8" t="s">
        <v>3</v>
      </c>
      <c r="B6" s="24">
        <f>+'Trust Fund Monthly'!H44</f>
        <v>288610909</v>
      </c>
      <c r="C6" s="27"/>
      <c r="H6" s="12">
        <f>IF(H18=0,0,G22)</f>
        <v>0</v>
      </c>
      <c r="I6" s="12">
        <f>IF(I18=0,0,H22)</f>
        <v>0</v>
      </c>
      <c r="J6" s="12">
        <f>IF(J18=0,0,I22)</f>
        <v>0</v>
      </c>
      <c r="K6" s="12">
        <f>IF(K18=0,0,J22)</f>
        <v>0</v>
      </c>
      <c r="L6" s="12">
        <f>IF(L18=0,0,K22)</f>
        <v>0</v>
      </c>
      <c r="O6" s="98"/>
      <c r="P6" s="99"/>
      <c r="R6" s="98"/>
    </row>
    <row r="7" spans="1:18" ht="15.75" x14ac:dyDescent="0.25">
      <c r="B7" s="16"/>
      <c r="C7" s="27"/>
      <c r="H7" s="10"/>
      <c r="I7" s="10"/>
      <c r="J7" s="10"/>
      <c r="K7" s="10"/>
      <c r="L7" s="10"/>
      <c r="O7" s="98"/>
      <c r="P7" s="99"/>
      <c r="R7" s="98"/>
    </row>
    <row r="8" spans="1:18" ht="15.75" x14ac:dyDescent="0.25">
      <c r="A8" s="4" t="s">
        <v>0</v>
      </c>
      <c r="B8" s="16"/>
      <c r="C8" s="27"/>
      <c r="H8" s="10"/>
      <c r="I8" s="10"/>
      <c r="J8" s="10"/>
      <c r="K8" s="10"/>
      <c r="L8" s="10"/>
      <c r="O8" s="98"/>
      <c r="P8" s="99"/>
      <c r="R8" s="98"/>
    </row>
    <row r="9" spans="1:18" ht="15.75" x14ac:dyDescent="0.25">
      <c r="A9" s="7" t="s">
        <v>4</v>
      </c>
      <c r="B9" s="16"/>
      <c r="C9" s="27"/>
      <c r="H9" s="10"/>
      <c r="I9" s="10"/>
      <c r="J9" s="10"/>
      <c r="K9" s="10"/>
      <c r="L9" s="10"/>
      <c r="O9" s="98"/>
      <c r="P9" s="99"/>
      <c r="R9" s="98"/>
    </row>
    <row r="10" spans="1:18" ht="15.75" x14ac:dyDescent="0.25">
      <c r="A10" s="3" t="s">
        <v>5</v>
      </c>
      <c r="B10" s="16">
        <f>+'Trust Fund Monthly'!H50</f>
        <v>124422499</v>
      </c>
      <c r="C10" s="27" t="s">
        <v>8</v>
      </c>
      <c r="H10" s="12">
        <v>0</v>
      </c>
      <c r="I10" s="12">
        <v>0</v>
      </c>
      <c r="J10" s="12">
        <v>0</v>
      </c>
      <c r="K10" s="12">
        <v>0</v>
      </c>
      <c r="L10" s="12">
        <v>0</v>
      </c>
      <c r="O10" s="98"/>
      <c r="P10" s="99"/>
      <c r="R10" s="98"/>
    </row>
    <row r="11" spans="1:18" ht="15.75" x14ac:dyDescent="0.25">
      <c r="A11" s="9" t="s">
        <v>23</v>
      </c>
      <c r="B11" s="16">
        <f>+'Trust Fund Monthly'!H51+'Trust Fund Monthly'!H59+'Trust Fund Monthly'!H63</f>
        <v>1860378</v>
      </c>
      <c r="C11" s="27" t="s">
        <v>31</v>
      </c>
      <c r="H11" s="10">
        <v>0</v>
      </c>
      <c r="I11" s="10">
        <v>0</v>
      </c>
      <c r="J11" s="10">
        <v>0</v>
      </c>
      <c r="K11" s="10">
        <v>0</v>
      </c>
      <c r="L11" s="10">
        <v>0</v>
      </c>
      <c r="O11" s="98"/>
      <c r="P11" s="99"/>
      <c r="R11" s="98"/>
    </row>
    <row r="12" spans="1:18" ht="15.75" x14ac:dyDescent="0.25">
      <c r="A12" s="7" t="s">
        <v>13</v>
      </c>
      <c r="B12" s="16"/>
      <c r="C12" s="27"/>
      <c r="G12"/>
      <c r="H12" s="10"/>
      <c r="I12" s="10"/>
      <c r="J12" s="10"/>
      <c r="K12" s="10"/>
      <c r="L12" s="10"/>
      <c r="N12" s="20"/>
      <c r="O12" s="98"/>
      <c r="P12" s="99"/>
    </row>
    <row r="13" spans="1:18" ht="15.75" x14ac:dyDescent="0.25">
      <c r="A13" s="3" t="s">
        <v>14</v>
      </c>
      <c r="B13" s="16">
        <f>+'Trust Fund Monthly'!H53</f>
        <v>807810</v>
      </c>
      <c r="C13" s="27" t="s">
        <v>8</v>
      </c>
      <c r="G13"/>
      <c r="H13" s="10"/>
      <c r="I13" s="10"/>
      <c r="J13" s="10"/>
      <c r="K13" s="10"/>
      <c r="L13" s="10"/>
      <c r="O13" s="98"/>
      <c r="P13" s="99"/>
    </row>
    <row r="14" spans="1:18" ht="15.75" x14ac:dyDescent="0.25">
      <c r="A14" s="9" t="s">
        <v>36</v>
      </c>
      <c r="B14" s="16">
        <f>+'Trust Fund Monthly'!H54</f>
        <v>17230485</v>
      </c>
      <c r="C14" s="27" t="s">
        <v>8</v>
      </c>
      <c r="G14"/>
      <c r="H14" s="10"/>
      <c r="I14" s="10"/>
      <c r="J14" s="10"/>
      <c r="K14" s="10"/>
      <c r="L14" s="10"/>
      <c r="O14" s="98"/>
      <c r="P14" s="99"/>
    </row>
    <row r="15" spans="1:18" ht="15.75" x14ac:dyDescent="0.25">
      <c r="A15" s="9" t="s">
        <v>15</v>
      </c>
      <c r="B15" s="16">
        <f>+'Trust Fund Monthly'!H58</f>
        <v>81546239</v>
      </c>
      <c r="C15" s="27" t="s">
        <v>10</v>
      </c>
      <c r="D15"/>
      <c r="E15"/>
      <c r="F15"/>
      <c r="G15"/>
      <c r="H15" s="10">
        <v>0</v>
      </c>
      <c r="I15" s="10">
        <v>0</v>
      </c>
      <c r="J15" s="10">
        <v>0</v>
      </c>
      <c r="K15" s="10">
        <v>0</v>
      </c>
      <c r="L15" s="10">
        <v>0</v>
      </c>
    </row>
    <row r="16" spans="1:18" ht="15.75" x14ac:dyDescent="0.25">
      <c r="A16" s="7" t="s">
        <v>16</v>
      </c>
      <c r="B16" s="16"/>
      <c r="C16" s="27"/>
      <c r="D16"/>
      <c r="E16"/>
      <c r="F16"/>
      <c r="G16"/>
      <c r="H16" s="10"/>
      <c r="I16" s="10"/>
      <c r="J16" s="10"/>
      <c r="K16" s="10"/>
      <c r="L16" s="10"/>
    </row>
    <row r="17" spans="1:13" ht="15.75" x14ac:dyDescent="0.25">
      <c r="A17" s="3" t="s">
        <v>17</v>
      </c>
      <c r="B17" s="16">
        <f>+'Trust Fund Monthly'!H67</f>
        <v>2799406</v>
      </c>
      <c r="C17" s="27" t="s">
        <v>9</v>
      </c>
      <c r="D17"/>
      <c r="E17"/>
      <c r="F17"/>
      <c r="G17"/>
      <c r="H17" s="10">
        <v>0</v>
      </c>
      <c r="I17" s="10">
        <v>0</v>
      </c>
      <c r="J17" s="10">
        <v>0</v>
      </c>
      <c r="K17" s="10">
        <v>0</v>
      </c>
      <c r="L17" s="10">
        <v>0</v>
      </c>
    </row>
    <row r="18" spans="1:13" ht="15.75" x14ac:dyDescent="0.25">
      <c r="A18" s="32" t="s">
        <v>18</v>
      </c>
      <c r="B18" s="26">
        <f>SUM(B10:B17)</f>
        <v>228666817</v>
      </c>
      <c r="C18" s="27"/>
      <c r="D18"/>
      <c r="E18"/>
      <c r="F18"/>
      <c r="G18"/>
      <c r="H18" s="13">
        <f>SUM(H10:H17)</f>
        <v>0</v>
      </c>
      <c r="I18" s="13">
        <f>SUM(I10:I17)</f>
        <v>0</v>
      </c>
      <c r="J18" s="13">
        <f>SUM(J10:J17)</f>
        <v>0</v>
      </c>
      <c r="K18" s="13">
        <f>SUM(K10:K17)</f>
        <v>0</v>
      </c>
      <c r="L18" s="13">
        <f>SUM(L10:L17)</f>
        <v>0</v>
      </c>
    </row>
    <row r="19" spans="1:13" ht="15.75" x14ac:dyDescent="0.25">
      <c r="B19" s="16"/>
      <c r="C19" s="27"/>
      <c r="D19"/>
      <c r="E19"/>
      <c r="F19"/>
      <c r="G19"/>
      <c r="H19" s="11"/>
      <c r="I19" s="11"/>
      <c r="J19" s="11"/>
      <c r="K19" s="11"/>
      <c r="L19" s="11"/>
    </row>
    <row r="20" spans="1:13" ht="15.75" x14ac:dyDescent="0.25">
      <c r="A20" s="8" t="s">
        <v>1</v>
      </c>
      <c r="B20" s="16">
        <f>+'Trust Fund Monthly'!H75</f>
        <v>-91815745</v>
      </c>
      <c r="C20" s="27"/>
      <c r="D20"/>
      <c r="E20"/>
      <c r="F20"/>
      <c r="G20"/>
      <c r="H20" s="12">
        <v>0</v>
      </c>
      <c r="I20" s="12">
        <v>0</v>
      </c>
      <c r="J20" s="12">
        <v>0</v>
      </c>
      <c r="K20" s="12">
        <v>0</v>
      </c>
      <c r="L20" s="12">
        <v>0</v>
      </c>
    </row>
    <row r="21" spans="1:13" ht="15.75" x14ac:dyDescent="0.25">
      <c r="B21" s="16"/>
      <c r="C21" s="27"/>
      <c r="D21"/>
      <c r="E21"/>
      <c r="F21"/>
      <c r="G21"/>
      <c r="H21" s="10"/>
      <c r="I21" s="10"/>
      <c r="J21" s="10"/>
      <c r="K21" s="10"/>
      <c r="L21" s="10"/>
    </row>
    <row r="22" spans="1:13" ht="16.5" thickBot="1" x14ac:dyDescent="0.3">
      <c r="A22" s="8" t="s">
        <v>2</v>
      </c>
      <c r="B22" s="25">
        <f>B6+B18+B20</f>
        <v>425461981</v>
      </c>
      <c r="C22" s="27"/>
      <c r="D22"/>
      <c r="E22"/>
      <c r="F22"/>
      <c r="G22"/>
      <c r="H22" s="14">
        <f>H6+H18+H20</f>
        <v>0</v>
      </c>
      <c r="I22" s="14">
        <f>I6+I18+I20</f>
        <v>0</v>
      </c>
      <c r="J22" s="14">
        <f>J6+J18+J20</f>
        <v>0</v>
      </c>
      <c r="K22" s="14">
        <f>K6+K18+K20</f>
        <v>0</v>
      </c>
      <c r="L22" s="14">
        <f>L6+L18+L20</f>
        <v>0</v>
      </c>
    </row>
    <row r="23" spans="1:13" x14ac:dyDescent="0.25">
      <c r="M23" s="17"/>
    </row>
    <row r="24" spans="1:13" x14ac:dyDescent="0.25">
      <c r="A24" s="21"/>
    </row>
    <row r="26" spans="1:13" x14ac:dyDescent="0.25">
      <c r="B26" s="22">
        <f>B22-'Trust Fund Monthly'!H77</f>
        <v>0</v>
      </c>
    </row>
  </sheetData>
  <mergeCells count="3">
    <mergeCell ref="B4:C4"/>
    <mergeCell ref="A2:C2"/>
    <mergeCell ref="A1:C1"/>
  </mergeCells>
  <printOptions horizontalCentered="1"/>
  <pageMargins left="0.7" right="0.7" top="0.75" bottom="0.75" header="0.3" footer="0.3"/>
  <pageSetup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20"/>
  <sheetViews>
    <sheetView showGridLines="0" zoomScaleNormal="100" workbookViewId="0">
      <selection activeCell="B10" sqref="B10"/>
    </sheetView>
  </sheetViews>
  <sheetFormatPr defaultRowHeight="15" x14ac:dyDescent="0.25"/>
  <cols>
    <col min="1" max="1" width="33.140625" customWidth="1"/>
    <col min="2" max="2" width="19.42578125" customWidth="1"/>
    <col min="3" max="3" width="14.140625" customWidth="1"/>
    <col min="4" max="6" width="13.28515625" bestFit="1" customWidth="1"/>
    <col min="7" max="7" width="14.42578125" bestFit="1" customWidth="1"/>
    <col min="8" max="8" width="13.5703125" bestFit="1" customWidth="1"/>
  </cols>
  <sheetData>
    <row r="1" spans="1:3" ht="18.75" x14ac:dyDescent="0.3">
      <c r="A1" s="110" t="s">
        <v>6</v>
      </c>
      <c r="B1" s="110"/>
      <c r="C1" s="110"/>
    </row>
    <row r="2" spans="1:3" ht="18.75" x14ac:dyDescent="0.3">
      <c r="A2" s="111" t="str">
        <f>'Trust Fund YTD'!A2:C2</f>
        <v>Period 7 - January 2019</v>
      </c>
      <c r="B2" s="109"/>
      <c r="C2" s="109"/>
    </row>
    <row r="3" spans="1:3" ht="18.75" x14ac:dyDescent="0.3">
      <c r="A3" s="41"/>
    </row>
    <row r="4" spans="1:3" ht="15.75" x14ac:dyDescent="0.25">
      <c r="B4" s="108" t="str">
        <f>'Trust Fund YTD'!B4:C4</f>
        <v>Fiscal Year 2018-19</v>
      </c>
      <c r="C4" s="108"/>
    </row>
    <row r="5" spans="1:3" ht="15.75" x14ac:dyDescent="0.25">
      <c r="B5" s="23" t="s">
        <v>12</v>
      </c>
      <c r="C5" s="23" t="s">
        <v>19</v>
      </c>
    </row>
    <row r="6" spans="1:3" ht="15.75" x14ac:dyDescent="0.25">
      <c r="A6" s="8" t="s">
        <v>3</v>
      </c>
      <c r="B6" s="24">
        <f>'Safety Maint Acct Monthly'!H31</f>
        <v>16507090</v>
      </c>
      <c r="C6" s="27"/>
    </row>
    <row r="7" spans="1:3" ht="15.75" x14ac:dyDescent="0.25">
      <c r="A7" s="2"/>
      <c r="B7" s="16"/>
      <c r="C7" s="27"/>
    </row>
    <row r="8" spans="1:3" ht="15.75" x14ac:dyDescent="0.25">
      <c r="A8" s="4" t="s">
        <v>0</v>
      </c>
      <c r="B8" s="16"/>
      <c r="C8" s="27"/>
    </row>
    <row r="9" spans="1:3" ht="15.75" x14ac:dyDescent="0.25">
      <c r="A9" s="9" t="s">
        <v>7</v>
      </c>
      <c r="B9" s="16">
        <f>'Safety Maint Acct Monthly'!H36</f>
        <v>10603250</v>
      </c>
      <c r="C9" s="27" t="s">
        <v>8</v>
      </c>
    </row>
    <row r="10" spans="1:3" ht="15.75" x14ac:dyDescent="0.25">
      <c r="A10" s="7" t="s">
        <v>16</v>
      </c>
      <c r="B10" s="16"/>
      <c r="C10" s="27"/>
    </row>
    <row r="11" spans="1:3" ht="15.75" x14ac:dyDescent="0.25">
      <c r="A11" s="3" t="s">
        <v>22</v>
      </c>
      <c r="B11" s="16">
        <f>'Safety Maint Acct Monthly'!H40</f>
        <v>168181</v>
      </c>
      <c r="C11" s="27" t="s">
        <v>9</v>
      </c>
    </row>
    <row r="12" spans="1:3" ht="15.75" x14ac:dyDescent="0.25">
      <c r="A12" s="32" t="s">
        <v>18</v>
      </c>
      <c r="B12" s="26">
        <f>SUM(B9:B11)</f>
        <v>10771431</v>
      </c>
      <c r="C12" s="27"/>
    </row>
    <row r="13" spans="1:3" ht="15.75" x14ac:dyDescent="0.25">
      <c r="A13" s="2"/>
      <c r="B13" s="16"/>
      <c r="C13" s="27"/>
    </row>
    <row r="14" spans="1:3" ht="15.75" x14ac:dyDescent="0.25">
      <c r="A14" s="8" t="s">
        <v>1</v>
      </c>
      <c r="B14" s="16">
        <f>'Safety Maint Acct Monthly'!H49</f>
        <v>-40000000</v>
      </c>
      <c r="C14" s="27"/>
    </row>
    <row r="15" spans="1:3" ht="15.75" x14ac:dyDescent="0.25">
      <c r="A15" s="2"/>
      <c r="B15" s="16"/>
      <c r="C15" s="27"/>
    </row>
    <row r="16" spans="1:3" ht="16.5" thickBot="1" x14ac:dyDescent="0.3">
      <c r="A16" s="8" t="s">
        <v>2</v>
      </c>
      <c r="B16" s="25">
        <f>B6+B12+B14</f>
        <v>-12721479</v>
      </c>
      <c r="C16" s="27"/>
    </row>
    <row r="17" spans="1:3" x14ac:dyDescent="0.25">
      <c r="A17" s="2"/>
      <c r="B17" s="2"/>
      <c r="C17" s="2"/>
    </row>
    <row r="20" spans="1:3" x14ac:dyDescent="0.25">
      <c r="B20" s="22">
        <f>+B16-'Safety Maint Acct Monthly'!H51</f>
        <v>-12751399</v>
      </c>
    </row>
  </sheetData>
  <mergeCells count="3">
    <mergeCell ref="B4:C4"/>
    <mergeCell ref="A1:C1"/>
    <mergeCell ref="A2:C2"/>
  </mergeCells>
  <printOptions horizontalCentered="1"/>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Date</vt:lpstr>
      <vt:lpstr>IMTFWeb</vt:lpstr>
      <vt:lpstr>SMAWeb</vt:lpstr>
      <vt:lpstr>DistCounties</vt:lpstr>
      <vt:lpstr>Trust Fund Monthly</vt:lpstr>
      <vt:lpstr>Safety Maint Acct Monthly</vt:lpstr>
      <vt:lpstr>Trust Fund YTD</vt:lpstr>
      <vt:lpstr>Safety Maint Acct YTD</vt:lpstr>
      <vt:lpstr>DistCounties!Print_Area</vt:lpstr>
      <vt:lpstr>IMTFWeb!Print_Area</vt:lpstr>
      <vt:lpstr>SMAWeb!Print_Area</vt:lpstr>
    </vt:vector>
  </TitlesOfParts>
  <Company>SC Division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Barfield, John</dc:creator>
  <cp:lastModifiedBy>Ward, Eric</cp:lastModifiedBy>
  <cp:lastPrinted>2019-02-20T22:42:51Z</cp:lastPrinted>
  <dcterms:created xsi:type="dcterms:W3CDTF">2017-09-13T21:39:41Z</dcterms:created>
  <dcterms:modified xsi:type="dcterms:W3CDTF">2019-02-22T15:33:10Z</dcterms:modified>
</cp:coreProperties>
</file>